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810" windowWidth="15480" windowHeight="11400" tabRatio="751" activeTab="2"/>
  </bookViews>
  <sheets>
    <sheet name="В текущих ценах" sheetId="20" r:id="rId1"/>
    <sheet name="База" sheetId="21" r:id="rId2"/>
    <sheet name="Расчет стоимости" sheetId="22" r:id="rId3"/>
    <sheet name="НМЦ лота" sheetId="23" r:id="rId4"/>
    <sheet name="Локальная смета" sheetId="28" r:id="rId5"/>
  </sheets>
  <externalReferences>
    <externalReference r:id="rId6"/>
    <externalReference r:id="rId7"/>
  </externalReferences>
  <definedNames>
    <definedName name="_xlnm.Print_Area" localSheetId="2">'Расчет стоимости'!$A$1:$AY$52</definedName>
  </definedNames>
  <calcPr calcId="145621"/>
</workbook>
</file>

<file path=xl/calcChain.xml><?xml version="1.0" encoding="utf-8"?>
<calcChain xmlns="http://schemas.openxmlformats.org/spreadsheetml/2006/main">
  <c r="P487" i="28" l="1"/>
  <c r="M486" i="28"/>
  <c r="M447" i="28"/>
  <c r="M443" i="28"/>
  <c r="M438" i="28"/>
  <c r="M339" i="28"/>
  <c r="M334" i="28"/>
  <c r="J235" i="28"/>
  <c r="G27" i="20"/>
  <c r="G28" i="22" s="1"/>
  <c r="L28" i="22" s="1"/>
  <c r="D18" i="22"/>
  <c r="D18" i="20"/>
  <c r="P62" i="23" l="1"/>
  <c r="O62" i="23"/>
  <c r="N62" i="23"/>
  <c r="M62" i="23"/>
  <c r="G62" i="23"/>
  <c r="F62" i="23"/>
  <c r="E62" i="23"/>
  <c r="D62" i="23"/>
  <c r="F61" i="23"/>
  <c r="F63" i="23" s="1"/>
  <c r="L16" i="23" l="1"/>
  <c r="M16" i="23" s="1"/>
  <c r="O61" i="23" l="1"/>
  <c r="O63" i="23" s="1"/>
  <c r="D28" i="23" l="1"/>
  <c r="M28" i="23" s="1"/>
  <c r="F27" i="23"/>
  <c r="F22" i="23"/>
  <c r="G20" i="21"/>
  <c r="F17" i="21"/>
  <c r="F20" i="21" s="1"/>
  <c r="E17" i="21"/>
  <c r="E19" i="20"/>
  <c r="E19" i="21" s="1"/>
  <c r="D19" i="21"/>
  <c r="D18" i="21"/>
  <c r="E16" i="22"/>
  <c r="H19" i="20"/>
  <c r="G27" i="21"/>
  <c r="H27" i="21" s="1"/>
  <c r="D17" i="20"/>
  <c r="D17" i="21" s="1"/>
  <c r="D16" i="22" l="1"/>
  <c r="I16" i="22" s="1"/>
  <c r="H27" i="20"/>
  <c r="H18" i="20"/>
  <c r="D15" i="23"/>
  <c r="N16" i="22"/>
  <c r="E20" i="21"/>
  <c r="E18" i="22"/>
  <c r="J18" i="22" s="1"/>
  <c r="E20" i="20"/>
  <c r="H28" i="22"/>
  <c r="O18" i="22" l="1"/>
  <c r="E16" i="23"/>
  <c r="M28" i="22"/>
  <c r="G21" i="23"/>
  <c r="G22" i="23" s="1"/>
  <c r="Q28" i="22"/>
  <c r="R28" i="22" s="1"/>
  <c r="H21" i="23" l="1"/>
  <c r="G23" i="23"/>
  <c r="AV36" i="22" l="1"/>
  <c r="AW39" i="22" l="1"/>
  <c r="H13" i="23"/>
  <c r="G24" i="23" l="1"/>
  <c r="G35" i="21"/>
  <c r="G37" i="22"/>
  <c r="Q37" i="22" s="1"/>
  <c r="AQ45" i="22"/>
  <c r="AP45" i="22"/>
  <c r="AK45" i="22"/>
  <c r="P38" i="22"/>
  <c r="O38" i="22"/>
  <c r="N38" i="22"/>
  <c r="K38" i="22"/>
  <c r="J38" i="22"/>
  <c r="I38" i="22"/>
  <c r="F38" i="22"/>
  <c r="E38" i="22"/>
  <c r="D38" i="22"/>
  <c r="P34" i="22"/>
  <c r="O34" i="22"/>
  <c r="N34" i="22"/>
  <c r="K34" i="22"/>
  <c r="J34" i="22"/>
  <c r="I34" i="22"/>
  <c r="F34" i="22"/>
  <c r="E34" i="22"/>
  <c r="D34" i="22"/>
  <c r="P29" i="22"/>
  <c r="K29" i="22"/>
  <c r="F29" i="22"/>
  <c r="P23" i="22"/>
  <c r="L23" i="22"/>
  <c r="K23" i="22"/>
  <c r="F23" i="22"/>
  <c r="L14" i="22"/>
  <c r="G14" i="22"/>
  <c r="G20" i="22" s="1"/>
  <c r="Q13" i="22"/>
  <c r="Q14" i="22" s="1"/>
  <c r="Q20" i="22" s="1"/>
  <c r="Q24" i="22" s="1"/>
  <c r="M13" i="22"/>
  <c r="M14" i="22" s="1"/>
  <c r="H13" i="22"/>
  <c r="F36" i="21"/>
  <c r="E36" i="21"/>
  <c r="D36" i="21"/>
  <c r="F28" i="21"/>
  <c r="G23" i="21"/>
  <c r="F29" i="21"/>
  <c r="F37" i="21" s="1"/>
  <c r="F38" i="21" s="1"/>
  <c r="E22" i="21"/>
  <c r="D20" i="21"/>
  <c r="D22" i="21" s="1"/>
  <c r="H19" i="21"/>
  <c r="H18" i="21"/>
  <c r="H17" i="21"/>
  <c r="G36" i="20"/>
  <c r="F36" i="20"/>
  <c r="E36" i="20"/>
  <c r="D36" i="20"/>
  <c r="H35" i="20"/>
  <c r="H36" i="20" s="1"/>
  <c r="F28" i="20"/>
  <c r="G20" i="20"/>
  <c r="G23" i="20" s="1"/>
  <c r="F20" i="20"/>
  <c r="G27" i="23" l="1"/>
  <c r="G29" i="23" s="1"/>
  <c r="G30" i="23" s="1"/>
  <c r="G31" i="23" s="1"/>
  <c r="G61" i="23"/>
  <c r="G63" i="23" s="1"/>
  <c r="L24" i="22"/>
  <c r="G24" i="22"/>
  <c r="R13" i="22"/>
  <c r="H14" i="22"/>
  <c r="L20" i="22"/>
  <c r="L37" i="22"/>
  <c r="H22" i="21"/>
  <c r="E23" i="21"/>
  <c r="E25" i="21" s="1"/>
  <c r="E28" i="21" s="1"/>
  <c r="E29" i="21" s="1"/>
  <c r="E37" i="21" s="1"/>
  <c r="E38" i="21" s="1"/>
  <c r="J16" i="22"/>
  <c r="D17" i="22"/>
  <c r="H17" i="20"/>
  <c r="G36" i="21"/>
  <c r="F16" i="22"/>
  <c r="Q38" i="22"/>
  <c r="R38" i="22" s="1"/>
  <c r="AE45" i="22" s="1"/>
  <c r="AJ45" i="22" s="1"/>
  <c r="R37" i="22"/>
  <c r="H37" i="22"/>
  <c r="G38" i="22"/>
  <c r="H38" i="22" s="1"/>
  <c r="U45" i="22" s="1"/>
  <c r="R14" i="22"/>
  <c r="F39" i="21"/>
  <c r="H20" i="21"/>
  <c r="D23" i="21"/>
  <c r="F23" i="21"/>
  <c r="H35" i="21"/>
  <c r="H36" i="21" s="1"/>
  <c r="E22" i="20"/>
  <c r="E23" i="20" s="1"/>
  <c r="F29" i="20"/>
  <c r="F37" i="20" s="1"/>
  <c r="F38" i="20" s="1"/>
  <c r="F23" i="20"/>
  <c r="D20" i="20"/>
  <c r="E15" i="23" l="1"/>
  <c r="O16" i="22"/>
  <c r="D19" i="22"/>
  <c r="D20" i="22" s="1"/>
  <c r="D22" i="22" s="1"/>
  <c r="H16" i="22"/>
  <c r="V36" i="22"/>
  <c r="V35" i="22" s="1"/>
  <c r="AV35" i="22"/>
  <c r="AV34" i="22" s="1"/>
  <c r="H18" i="22"/>
  <c r="I18" i="22"/>
  <c r="H17" i="22"/>
  <c r="I17" i="22"/>
  <c r="M18" i="23" s="1"/>
  <c r="K16" i="22"/>
  <c r="F19" i="22"/>
  <c r="E19" i="22"/>
  <c r="E20" i="22" s="1"/>
  <c r="E22" i="22" s="1"/>
  <c r="E23" i="22" s="1"/>
  <c r="E24" i="22" s="1"/>
  <c r="L38" i="22"/>
  <c r="M38" i="22" s="1"/>
  <c r="M37" i="22"/>
  <c r="Z45" i="22" s="1"/>
  <c r="D25" i="21"/>
  <c r="H23" i="21"/>
  <c r="F40" i="21"/>
  <c r="F41" i="21" s="1"/>
  <c r="E39" i="21"/>
  <c r="E25" i="20"/>
  <c r="E28" i="20" s="1"/>
  <c r="E29" i="20" s="1"/>
  <c r="E37" i="20" s="1"/>
  <c r="E38" i="20" s="1"/>
  <c r="D22" i="20"/>
  <c r="H22" i="20" s="1"/>
  <c r="H20" i="20"/>
  <c r="F39" i="20"/>
  <c r="P16" i="22" l="1"/>
  <c r="M15" i="23"/>
  <c r="P61" i="23" s="1"/>
  <c r="P63" i="23" s="1"/>
  <c r="N61" i="23"/>
  <c r="N63" i="23" s="1"/>
  <c r="M27" i="23"/>
  <c r="M29" i="23" s="1"/>
  <c r="M61" i="23"/>
  <c r="M63" i="23" s="1"/>
  <c r="W40" i="22" s="1"/>
  <c r="E27" i="23"/>
  <c r="E29" i="23" s="1"/>
  <c r="E61" i="23"/>
  <c r="E63" i="23" s="1"/>
  <c r="E18" i="23"/>
  <c r="M18" i="22"/>
  <c r="D16" i="23"/>
  <c r="D61" i="23" s="1"/>
  <c r="E20" i="23"/>
  <c r="E22" i="23" s="1"/>
  <c r="E23" i="23" s="1"/>
  <c r="E24" i="23" s="1"/>
  <c r="H19" i="22"/>
  <c r="N18" i="22"/>
  <c r="R18" i="22" s="1"/>
  <c r="E26" i="22"/>
  <c r="E29" i="22" s="1"/>
  <c r="E30" i="22" s="1"/>
  <c r="E35" i="22" s="1"/>
  <c r="E39" i="22" s="1"/>
  <c r="E41" i="22" s="1"/>
  <c r="E42" i="22" s="1"/>
  <c r="E45" i="22" s="1"/>
  <c r="N17" i="22"/>
  <c r="R17" i="22" s="1"/>
  <c r="H15" i="23"/>
  <c r="F23" i="23"/>
  <c r="F24" i="23" s="1"/>
  <c r="F29" i="23" s="1"/>
  <c r="F30" i="23" s="1"/>
  <c r="F31" i="23" s="1"/>
  <c r="F24" i="22"/>
  <c r="F30" i="22" s="1"/>
  <c r="F35" i="22" s="1"/>
  <c r="F39" i="22" s="1"/>
  <c r="F20" i="22"/>
  <c r="H20" i="22" s="1"/>
  <c r="M17" i="22"/>
  <c r="I19" i="22"/>
  <c r="J19" i="22"/>
  <c r="J20" i="22" s="1"/>
  <c r="J22" i="22" s="1"/>
  <c r="M16" i="22"/>
  <c r="K19" i="22"/>
  <c r="P19" i="22"/>
  <c r="E40" i="21"/>
  <c r="E41" i="21" s="1"/>
  <c r="H25" i="21"/>
  <c r="G26" i="21" s="1"/>
  <c r="G28" i="21" s="1"/>
  <c r="D28" i="21"/>
  <c r="F40" i="20"/>
  <c r="F41" i="20" s="1"/>
  <c r="E39" i="20"/>
  <c r="D23" i="20"/>
  <c r="V40" i="22" l="1"/>
  <c r="Y40" i="22" s="1"/>
  <c r="AV39" i="22"/>
  <c r="AY39" i="22" s="1"/>
  <c r="D63" i="23"/>
  <c r="H63" i="23" s="1"/>
  <c r="W39" i="22" s="1"/>
  <c r="H61" i="23"/>
  <c r="D18" i="23"/>
  <c r="H18" i="23" s="1"/>
  <c r="D27" i="23"/>
  <c r="D29" i="23" s="1"/>
  <c r="H29" i="23" s="1"/>
  <c r="J23" i="22"/>
  <c r="J24" i="22" s="1"/>
  <c r="H16" i="23"/>
  <c r="E30" i="23"/>
  <c r="P24" i="22"/>
  <c r="P20" i="22"/>
  <c r="R16" i="22"/>
  <c r="O19" i="22"/>
  <c r="O20" i="22" s="1"/>
  <c r="O22" i="22" s="1"/>
  <c r="N19" i="22"/>
  <c r="N20" i="22" s="1"/>
  <c r="N22" i="22" s="1"/>
  <c r="K24" i="22"/>
  <c r="K20" i="22"/>
  <c r="M19" i="22"/>
  <c r="I20" i="22"/>
  <c r="I22" i="22" s="1"/>
  <c r="F41" i="22"/>
  <c r="F42" i="22" s="1"/>
  <c r="F45" i="22" s="1"/>
  <c r="E46" i="22"/>
  <c r="E47" i="22" s="1"/>
  <c r="H22" i="22"/>
  <c r="D23" i="22"/>
  <c r="D29" i="21"/>
  <c r="G29" i="21"/>
  <c r="H26" i="21"/>
  <c r="D25" i="20"/>
  <c r="H23" i="20"/>
  <c r="E40" i="20"/>
  <c r="E41" i="20" s="1"/>
  <c r="J29" i="22" l="1"/>
  <c r="J30" i="22" s="1"/>
  <c r="J35" i="22" s="1"/>
  <c r="J39" i="22" s="1"/>
  <c r="J26" i="22"/>
  <c r="AV38" i="22"/>
  <c r="V39" i="22"/>
  <c r="D20" i="23"/>
  <c r="O23" i="22"/>
  <c r="O24" i="22" s="1"/>
  <c r="AW38" i="22"/>
  <c r="H27" i="23"/>
  <c r="D30" i="23"/>
  <c r="D31" i="23" s="1"/>
  <c r="P30" i="22"/>
  <c r="P35" i="22" s="1"/>
  <c r="P39" i="22" s="1"/>
  <c r="P41" i="22" s="1"/>
  <c r="P42" i="22" s="1"/>
  <c r="P43" i="22" s="1"/>
  <c r="K30" i="22"/>
  <c r="K35" i="22" s="1"/>
  <c r="K39" i="22" s="1"/>
  <c r="R19" i="22"/>
  <c r="E31" i="23"/>
  <c r="V45" i="22"/>
  <c r="F46" i="22"/>
  <c r="F47" i="22" s="1"/>
  <c r="R20" i="22"/>
  <c r="M20" i="22"/>
  <c r="N23" i="22"/>
  <c r="H23" i="22"/>
  <c r="D24" i="22"/>
  <c r="D26" i="22" s="1"/>
  <c r="D37" i="21"/>
  <c r="D38" i="21" s="1"/>
  <c r="H29" i="21"/>
  <c r="H28" i="21"/>
  <c r="H25" i="20"/>
  <c r="G26" i="20" s="1"/>
  <c r="G28" i="20" s="1"/>
  <c r="D28" i="20"/>
  <c r="J42" i="22" l="1"/>
  <c r="J45" i="22" s="1"/>
  <c r="J46" i="22" s="1"/>
  <c r="J47" i="22" s="1"/>
  <c r="J41" i="22"/>
  <c r="O29" i="22"/>
  <c r="O30" i="22" s="1"/>
  <c r="O35" i="22" s="1"/>
  <c r="O39" i="22" s="1"/>
  <c r="O41" i="22" s="1"/>
  <c r="O42" i="22" s="1"/>
  <c r="O43" i="22" s="1"/>
  <c r="O45" i="22" s="1"/>
  <c r="O46" i="22" s="1"/>
  <c r="O47" i="22" s="1"/>
  <c r="O26" i="22"/>
  <c r="K42" i="22"/>
  <c r="K45" i="22" s="1"/>
  <c r="K46" i="22" s="1"/>
  <c r="K47" i="22" s="1"/>
  <c r="K41" i="22"/>
  <c r="AY38" i="22"/>
  <c r="Y39" i="22"/>
  <c r="D22" i="23"/>
  <c r="D23" i="23" s="1"/>
  <c r="H23" i="23" s="1"/>
  <c r="H20" i="23"/>
  <c r="G31" i="21"/>
  <c r="G32" i="21"/>
  <c r="H32" i="21" s="1"/>
  <c r="R22" i="22"/>
  <c r="H31" i="23"/>
  <c r="H30" i="23"/>
  <c r="AA45" i="22"/>
  <c r="AF45" i="22"/>
  <c r="P45" i="22"/>
  <c r="P46" i="22" s="1"/>
  <c r="P47" i="22" s="1"/>
  <c r="M22" i="22"/>
  <c r="I23" i="22"/>
  <c r="R23" i="22"/>
  <c r="N24" i="22"/>
  <c r="H24" i="22"/>
  <c r="G29" i="20"/>
  <c r="H26" i="20"/>
  <c r="H28" i="20"/>
  <c r="D29" i="20"/>
  <c r="N26" i="22" l="1"/>
  <c r="D24" i="23"/>
  <c r="H24" i="23" s="1"/>
  <c r="H22" i="23"/>
  <c r="G33" i="21"/>
  <c r="G37" i="21" s="1"/>
  <c r="G38" i="21" s="1"/>
  <c r="I24" i="22"/>
  <c r="M23" i="22"/>
  <c r="D29" i="22"/>
  <c r="H26" i="22"/>
  <c r="G27" i="22" s="1"/>
  <c r="G29" i="22" s="1"/>
  <c r="R24" i="22"/>
  <c r="H31" i="21"/>
  <c r="D39" i="21"/>
  <c r="H29" i="20"/>
  <c r="G32" i="20" s="1"/>
  <c r="D37" i="20"/>
  <c r="D38" i="20" s="1"/>
  <c r="I26" i="22" l="1"/>
  <c r="M24" i="22"/>
  <c r="D30" i="22"/>
  <c r="N29" i="22"/>
  <c r="N30" i="22" s="1"/>
  <c r="R26" i="22"/>
  <c r="G30" i="22"/>
  <c r="H27" i="22"/>
  <c r="D40" i="21"/>
  <c r="H33" i="21"/>
  <c r="H32" i="20"/>
  <c r="G31" i="20"/>
  <c r="Q27" i="22" l="1"/>
  <c r="Q29" i="22" s="1"/>
  <c r="M26" i="22"/>
  <c r="I29" i="22"/>
  <c r="D35" i="22"/>
  <c r="H30" i="22"/>
  <c r="G33" i="22" s="1"/>
  <c r="N35" i="22"/>
  <c r="H29" i="22"/>
  <c r="H38" i="21"/>
  <c r="H37" i="21"/>
  <c r="D41" i="21"/>
  <c r="D39" i="20"/>
  <c r="H31" i="20"/>
  <c r="G33" i="20"/>
  <c r="L29" i="22" l="1"/>
  <c r="L30" i="22" s="1"/>
  <c r="L27" i="22"/>
  <c r="I30" i="22"/>
  <c r="G39" i="21"/>
  <c r="M27" i="22"/>
  <c r="N39" i="22"/>
  <c r="D39" i="22"/>
  <c r="H33" i="22"/>
  <c r="G32" i="22"/>
  <c r="Q30" i="22"/>
  <c r="R27" i="22"/>
  <c r="H33" i="20"/>
  <c r="G37" i="20"/>
  <c r="D40" i="20"/>
  <c r="M29" i="22" l="1"/>
  <c r="G40" i="21"/>
  <c r="G41" i="21" s="1"/>
  <c r="H41" i="21" s="1"/>
  <c r="H39" i="21"/>
  <c r="M30" i="22"/>
  <c r="L33" i="22" s="1"/>
  <c r="I35" i="22"/>
  <c r="I39" i="22" s="1"/>
  <c r="R30" i="22"/>
  <c r="D41" i="22"/>
  <c r="N41" i="22"/>
  <c r="N42" i="22" s="1"/>
  <c r="N43" i="22" s="1"/>
  <c r="R29" i="22"/>
  <c r="G34" i="22"/>
  <c r="H32" i="22"/>
  <c r="D41" i="20"/>
  <c r="G38" i="20"/>
  <c r="H38" i="20" s="1"/>
  <c r="H37" i="20"/>
  <c r="Q32" i="22" l="1"/>
  <c r="Q33" i="22"/>
  <c r="I41" i="22"/>
  <c r="I42" i="22" s="1"/>
  <c r="I45" i="22" s="1"/>
  <c r="H40" i="21"/>
  <c r="R33" i="22"/>
  <c r="L32" i="22"/>
  <c r="M33" i="22"/>
  <c r="G39" i="20"/>
  <c r="G40" i="20" s="1"/>
  <c r="H40" i="20" s="1"/>
  <c r="H34" i="22"/>
  <c r="G35" i="22"/>
  <c r="D42" i="22"/>
  <c r="H39" i="20" l="1"/>
  <c r="M32" i="22"/>
  <c r="L34" i="22"/>
  <c r="D45" i="22"/>
  <c r="Q34" i="22"/>
  <c r="R32" i="22"/>
  <c r="I46" i="22"/>
  <c r="I47" i="22" s="1"/>
  <c r="AB45" i="22"/>
  <c r="AG45" i="22"/>
  <c r="AL45" i="22" s="1"/>
  <c r="N45" i="22"/>
  <c r="G39" i="22"/>
  <c r="H35" i="22"/>
  <c r="G41" i="20"/>
  <c r="H41" i="20" s="1"/>
  <c r="AV40" i="22" l="1"/>
  <c r="V41" i="22"/>
  <c r="M34" i="22"/>
  <c r="L35" i="22"/>
  <c r="R34" i="22"/>
  <c r="Q35" i="22"/>
  <c r="W45" i="22"/>
  <c r="D46" i="22"/>
  <c r="D47" i="22" s="1"/>
  <c r="G41" i="22"/>
  <c r="H41" i="22" s="1"/>
  <c r="H39" i="22"/>
  <c r="N46" i="22"/>
  <c r="M35" i="22" l="1"/>
  <c r="L39" i="22"/>
  <c r="G42" i="22"/>
  <c r="N47" i="22"/>
  <c r="Q39" i="22"/>
  <c r="Q41" i="22" s="1"/>
  <c r="R35" i="22"/>
  <c r="L41" i="22" l="1"/>
  <c r="M41" i="22" s="1"/>
  <c r="M39" i="22"/>
  <c r="R41" i="22"/>
  <c r="R39" i="22"/>
  <c r="G45" i="22"/>
  <c r="H42" i="22"/>
  <c r="L42" i="22" l="1"/>
  <c r="L45" i="22" s="1"/>
  <c r="M45" i="22" s="1"/>
  <c r="Y45" i="22" s="1"/>
  <c r="AC45" i="22" s="1"/>
  <c r="G46" i="22"/>
  <c r="H46" i="22" s="1"/>
  <c r="H45" i="22"/>
  <c r="Q42" i="22"/>
  <c r="Q43" i="22" s="1"/>
  <c r="M42" i="22" l="1"/>
  <c r="L46" i="22"/>
  <c r="M46" i="22" s="1"/>
  <c r="N51" i="22"/>
  <c r="T45" i="22"/>
  <c r="X45" i="22" s="1"/>
  <c r="R42" i="22"/>
  <c r="G47" i="22"/>
  <c r="H47" i="22" s="1"/>
  <c r="L47" i="22" l="1"/>
  <c r="M47" i="22" s="1"/>
  <c r="Q45" i="22"/>
  <c r="R43" i="22"/>
  <c r="AV37" i="22" s="1"/>
  <c r="AW40" i="22" l="1"/>
  <c r="AW41" i="22" s="1"/>
  <c r="AV41" i="22"/>
  <c r="Q46" i="22"/>
  <c r="R46" i="22" s="1"/>
  <c r="R45" i="22"/>
  <c r="V38" i="22" s="1"/>
  <c r="N52" i="22"/>
  <c r="AD45" i="22"/>
  <c r="AH45" i="22" s="1"/>
  <c r="W41" i="22" l="1"/>
  <c r="W42" i="22" s="1"/>
  <c r="V42" i="22"/>
  <c r="AI45" i="22"/>
  <c r="AM45" i="22" s="1"/>
  <c r="Q47" i="22"/>
  <c r="R47" i="22" s="1"/>
  <c r="AN45" i="22" l="1"/>
  <c r="AR45" i="22" s="1"/>
</calcChain>
</file>

<file path=xl/sharedStrings.xml><?xml version="1.0" encoding="utf-8"?>
<sst xmlns="http://schemas.openxmlformats.org/spreadsheetml/2006/main" count="1495" uniqueCount="1101">
  <si>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</si>
  <si>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</si>
  <si>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</si>
  <si>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</si>
  <si>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</si>
  <si>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</si>
  <si>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</si>
  <si>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</si>
  <si>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</si>
  <si>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</si>
  <si>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</si>
  <si>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</si>
  <si>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</si>
  <si>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</si>
  <si>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</si>
  <si>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</si>
  <si>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</si>
  <si>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</si>
  <si>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</si>
  <si>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</si>
  <si>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</si>
  <si>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</si>
  <si>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</si>
  <si>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</si>
  <si>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</si>
  <si>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</si>
  <si>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</si>
  <si>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ИТОГО ПО ГЛАВАМ 1- 12</t>
  </si>
  <si>
    <t>ИТОГО</t>
  </si>
  <si>
    <t>ВСЕГО БЕЗ НДС</t>
  </si>
  <si>
    <t>ИТОГО ПО СВОДНОМ СМЕТНОМУ РАСЧЕТУ</t>
  </si>
  <si>
    <t>"СОГЛАСОВАНО"</t>
  </si>
  <si>
    <t>Начальник управления капитального строительства</t>
  </si>
  <si>
    <t>Итого по главам 1-2</t>
  </si>
  <si>
    <t>ТЫС. РУБЛЕЙ без НДС</t>
  </si>
  <si>
    <t>С учетом снижения 30%</t>
  </si>
  <si>
    <t>объем квл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</si>
  <si>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</si>
  <si>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</si>
  <si>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</si>
  <si>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</si>
  <si>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</si>
  <si>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</si>
  <si>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</si>
  <si>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</si>
  <si>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</si>
  <si>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</si>
  <si>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</si>
  <si>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</si>
  <si>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</si>
  <si>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</si>
  <si>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</si>
  <si>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</si>
  <si>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</si>
  <si>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</si>
  <si>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</si>
  <si>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</si>
  <si>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Проектные работы</t>
  </si>
  <si>
    <t>Премия за ввод объекта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</si>
  <si>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</si>
  <si>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</si>
  <si>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</si>
  <si>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</si>
  <si>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Заместитель директора
по инвестиционной деятельности
филиала ПАО "МРСК Северо-Запада" "Комиэнерго"</t>
  </si>
  <si>
    <t>СВОДНЫЙ СМЕТНЫЙ РАСЧЕТ СТОИМОСТИ СТРОИТЕЛЬСТВА</t>
  </si>
  <si>
    <t xml:space="preserve">Проверил:                                                                                               А.М.Запрягаев      </t>
  </si>
  <si>
    <t>/В.Ю.Размыслов/</t>
  </si>
  <si>
    <t>А.А. Воронов</t>
  </si>
  <si>
    <t>/А.А. Воронов/</t>
  </si>
  <si>
    <t>НДС 20%</t>
  </si>
  <si>
    <t>Локальная смета №1</t>
  </si>
  <si>
    <t>Непредвиденные работы и затраты  3%</t>
  </si>
  <si>
    <t>Начальник управления капитального строительства
филиала ПАО "МРСК Северо-Запада" "Комиэнерго"</t>
  </si>
  <si>
    <t xml:space="preserve">Ведущий инженер СПС УКС </t>
  </si>
  <si>
    <t>2020 год</t>
  </si>
  <si>
    <t xml:space="preserve">Плановая стоимость объекта в прогнозных ценах 2020 года  относительно уровня 4 квартала 2017 года </t>
  </si>
  <si>
    <t>Составлен в базисных ценах 2001 года с пересчетом в текущие цены на 2020 год</t>
  </si>
  <si>
    <t>Индексы - дефляторы МЭР по строке "Капвложения" на 2020 год (указать период выпуска)</t>
  </si>
  <si>
    <t>Стоимость строительства в ценах на период строительства в 2020 году</t>
  </si>
  <si>
    <t>С учетом индексов-дефляторов 2020</t>
  </si>
  <si>
    <t xml:space="preserve">Проверил: </t>
  </si>
  <si>
    <t>П-мо М.Тр.Р.Ф.,Госстр. Р.Ф.от10.10.91№ 1336-ВК/1-Д</t>
  </si>
  <si>
    <t>Приказ "Комиэнерго"№182 от 19.04.2018</t>
  </si>
  <si>
    <t>МДС 81-35.2004</t>
  </si>
  <si>
    <t>Разработал:                                                                                             Д.И. Геник</t>
  </si>
  <si>
    <t>Инженер</t>
  </si>
  <si>
    <t>Д.И. Геник</t>
  </si>
  <si>
    <t>тыс. руб.</t>
  </si>
  <si>
    <t>Затраты на временные здания и сооружения 2,5%</t>
  </si>
  <si>
    <t>ЛОКАЛЬНАЯ СМЕТА № 1</t>
  </si>
  <si>
    <t>(Локальный сметный расчет)</t>
  </si>
  <si>
    <t>Сметная стоимость:</t>
  </si>
  <si>
    <t>монтажных работ:</t>
  </si>
  <si>
    <t>Hормативная трудоемкость:</t>
  </si>
  <si>
    <t>тыс.чел.ч</t>
  </si>
  <si>
    <t>Сметная заработная плата:</t>
  </si>
  <si>
    <t>№ поз.</t>
  </si>
  <si>
    <t xml:space="preserve">Шифр и № позиции норматива,  </t>
  </si>
  <si>
    <t xml:space="preserve">Наименование работ и затрат,  </t>
  </si>
  <si>
    <t>Единица измерения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</si>
  <si>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</si>
  <si>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</si>
  <si>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</si>
  <si>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</si>
  <si>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</si>
  <si>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</si>
  <si>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</si>
  <si>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</si>
  <si>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</si>
  <si>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1.</t>
  </si>
  <si>
    <t>2.</t>
  </si>
  <si>
    <t>.    ИТОГО  ПО  РАЗДЕЛУ 1</t>
  </si>
  <si>
    <t>СТОИМОСТЬ ОБЩЕСТРОИТЕЛЬНЫХ РАБОТ -</t>
  </si>
  <si>
    <t>ВСЕГО, СТОИМОСТЬ ОБЩЕСТРОИТЕЛЬНЫХ РАБОТ -</t>
  </si>
  <si>
    <t>. ВСЕГО  ПО  РАЗДЕЛУ 1</t>
  </si>
  <si>
    <t>3.</t>
  </si>
  <si>
    <t xml:space="preserve">Е33-04-003-01 </t>
  </si>
  <si>
    <t>Установка железобетонных опор ВЛ 0,38; 6-10 кВ с траверсами без приставок одностоечных, 1 опора</t>
  </si>
  <si>
    <t>0.78</t>
  </si>
  <si>
    <t>4.</t>
  </si>
  <si>
    <t xml:space="preserve">Е33-04-003-02 </t>
  </si>
  <si>
    <t>Установка железобетонных опор ВЛ 0,38; 6-10 кВ с траверсами без приставок одностоечных с одним подкосом, 1 опора</t>
  </si>
  <si>
    <t>5.</t>
  </si>
  <si>
    <t xml:space="preserve">Е33-04-003-03 </t>
  </si>
  <si>
    <t>Установка железобетонных опор ВЛ 0,38; 6-10 кВ с траверсами без приставок одностоечных с двумя подкосами, 1 опора</t>
  </si>
  <si>
    <t>6.</t>
  </si>
  <si>
    <t xml:space="preserve">Е33-04-016-05 </t>
  </si>
  <si>
    <t>Развозка конструкций и материалов опор ВЛ 0,38-10 кВ по трассе материалов оснастки одностоечных опор, 1 опора</t>
  </si>
  <si>
    <t>0.25</t>
  </si>
  <si>
    <t>0.14</t>
  </si>
  <si>
    <t>7.</t>
  </si>
  <si>
    <t>Начисления: Н17= 2</t>
  </si>
  <si>
    <t>8.</t>
  </si>
  <si>
    <t xml:space="preserve">Е33-04-016-02 </t>
  </si>
  <si>
    <t>Развозка конструкций и материалов опор ВЛ 0,38-10 кВ по трассе одностоечных железобетонных опор, 1 опора</t>
  </si>
  <si>
    <t>0.44</t>
  </si>
  <si>
    <t>0.48</t>
  </si>
  <si>
    <t>9.</t>
  </si>
  <si>
    <t xml:space="preserve">Е33-04-016-06 </t>
  </si>
  <si>
    <t>Развозка конструкций и материалов опор ВЛ 0,38-10 кВ по трассе материалов оснастки сложных опор, 1 опора</t>
  </si>
  <si>
    <t>0.3</t>
  </si>
  <si>
    <t>0.16</t>
  </si>
  <si>
    <t>10.</t>
  </si>
  <si>
    <t>11.</t>
  </si>
  <si>
    <t>12.</t>
  </si>
  <si>
    <t>.    ИТОГО  ПО  РАЗДЕЛУ 2</t>
  </si>
  <si>
    <t>СТОИМОСТЬ МОНТАЖНЫХ РАБОТ -</t>
  </si>
  <si>
    <t>ВСЕГО, СТОИМОСТЬ МОНТАЖНЫХ РАБОТ -</t>
  </si>
  <si>
    <t>. ВСЕГО  ПО  РАЗДЕЛУ 2</t>
  </si>
  <si>
    <t>13.</t>
  </si>
  <si>
    <t>14.</t>
  </si>
  <si>
    <t>15.</t>
  </si>
  <si>
    <t>16.</t>
  </si>
  <si>
    <t>.    ИТОГО  ПО  РАЗДЕЛУ 3</t>
  </si>
  <si>
    <t>СТОИМОСТЬ ПУСКОНАЛАДОЧНЫХ РАБОТ -</t>
  </si>
  <si>
    <t>ВСЕГО, СТОИМОСТЬ ПУСКОНАЛАДОЧНЫХ РАБОТ -</t>
  </si>
  <si>
    <t>. ВСЕГО  ПО  РАЗДЕЛУ 3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</si>
  <si>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</si>
  <si>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</si>
  <si>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</si>
  <si>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</si>
  <si>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</si>
  <si>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</si>
  <si>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</si>
  <si>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</si>
  <si>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</si>
  <si>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</si>
  <si>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</si>
  <si>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</si>
  <si>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</si>
  <si>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</si>
  <si>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</si>
  <si>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</si>
  <si>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</si>
  <si>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</si>
  <si>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</si>
  <si>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</si>
  <si>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</si>
  <si>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</si>
  <si>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</si>
  <si>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</si>
  <si>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</si>
  <si>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</si>
  <si>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</si>
  <si>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</si>
  <si>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.    ИТОГО  ПО  РАЗДЕЛУ 4</t>
  </si>
  <si>
    <t>. ВСЕГО  ПО  РАЗДЕЛУ 4</t>
  </si>
  <si>
    <t>45.</t>
  </si>
  <si>
    <t>.    ИТОГО  ПО  РАЗДЕЛУ 5</t>
  </si>
  <si>
    <t>. ВСЕГО  ПО  РАЗДЕЛУ 5</t>
  </si>
  <si>
    <t>.    ИТОГО  ПО  СМЕТЕ</t>
  </si>
  <si>
    <t>. ВСЕГО  ПО  СМЕТЕ</t>
  </si>
  <si>
    <t>Составил:</t>
  </si>
  <si>
    <t>(должность, подпись, Ф.И.О)</t>
  </si>
  <si>
    <t>Проверил:</t>
  </si>
  <si>
    <t xml:space="preserve">Средства на возведение, разборку временных зданий и сооружений, %=2,5% </t>
  </si>
  <si>
    <t>№ п/п</t>
  </si>
  <si>
    <t>Общая сметная стоимость, тыс. руб.</t>
  </si>
  <si>
    <t>оборудо-вания, мебели и инвентаря</t>
  </si>
  <si>
    <t>Глава 1.
Подготовка территории строительства</t>
  </si>
  <si>
    <t>Итого по главе 1</t>
  </si>
  <si>
    <t>Глава 2.
Основные объекты строительства</t>
  </si>
  <si>
    <t xml:space="preserve">Итого по главе 2 </t>
  </si>
  <si>
    <t>Глава 8.
Временные здания и сооружения</t>
  </si>
  <si>
    <t>Итого по главам 1-8:</t>
  </si>
  <si>
    <t>Глава 9.
Прочие работы и затраты</t>
  </si>
  <si>
    <t>Дополнительные затраты при производстве строительно-монтажных работ в зимнее время</t>
  </si>
  <si>
    <t>Итого по главе 9</t>
  </si>
  <si>
    <t>Итого по главам 1-9:</t>
  </si>
  <si>
    <t>Глава 10.
Содержание службы заказчика-застройщика (технического надзора) строящегося предприятия</t>
  </si>
  <si>
    <t>Строительный контроль 2,14%</t>
  </si>
  <si>
    <t>Содержание службы заказчика - застройщика, кроме строительного контроля 4,36 %</t>
  </si>
  <si>
    <t>Итого по главе 10:</t>
  </si>
  <si>
    <t>Глава 12.
Проектные и изыскательские работы</t>
  </si>
  <si>
    <t xml:space="preserve">Проектные и изыскательские работы </t>
  </si>
  <si>
    <t>Итого по главе 12:</t>
  </si>
  <si>
    <t>Итого по главам 1-12:</t>
  </si>
  <si>
    <t>Резерв средств на непредвиденные работы и затраты 3%</t>
  </si>
  <si>
    <t>Итого по сводному сметному расчету:</t>
  </si>
  <si>
    <t>03.08.2018 № 303-ФЗ</t>
  </si>
  <si>
    <t>НДС-20%</t>
  </si>
  <si>
    <t>Итого по сводному сметному расчету с НДС:</t>
  </si>
  <si>
    <t>Составлен в ценах по состоянию на: 2000 г.</t>
  </si>
  <si>
    <t>Итого по главе 2:</t>
  </si>
  <si>
    <t xml:space="preserve">Дополнительные затраты при производстве строительно-монтажных работ в зимнее время </t>
  </si>
  <si>
    <t>ВЛ 10 кВ</t>
  </si>
  <si>
    <t xml:space="preserve">(Приказ № 163-ОД от 17.08.2009) </t>
  </si>
  <si>
    <t xml:space="preserve">(Приказ № 223-ОД от 23.11.2009) </t>
  </si>
  <si>
    <t xml:space="preserve">Е311-01-102-2 </t>
  </si>
  <si>
    <t>Разгрузка. Изделия из сборного железобетона, бетона, керамзитобетона массой до 3 т, т</t>
  </si>
  <si>
    <t>0.142</t>
  </si>
  <si>
    <t>0.071</t>
  </si>
  <si>
    <t xml:space="preserve">Е311-01-102-1 </t>
  </si>
  <si>
    <t>Погрузка. Изделия из сборного железобетона, бетона, керамзитобетона массой до 3 т, т</t>
  </si>
  <si>
    <t xml:space="preserve">Е311-01-150-1 </t>
  </si>
  <si>
    <t>Погрузка. Прочие материалы, детали (с использованием погрузчика), т</t>
  </si>
  <si>
    <t>0.289</t>
  </si>
  <si>
    <t>0.114</t>
  </si>
  <si>
    <t xml:space="preserve">Е311-01-150-2 </t>
  </si>
  <si>
    <t>Разгрузка. Прочие материалы, детали (с использованием погрузчика), т</t>
  </si>
  <si>
    <t>справочно</t>
  </si>
  <si>
    <t>Материалы</t>
  </si>
  <si>
    <t>Оплата труда рабочих</t>
  </si>
  <si>
    <t>Эксплуатация машин</t>
  </si>
  <si>
    <t>в т. ч. оплата труда механизаторов</t>
  </si>
  <si>
    <t>Накладные расходы</t>
  </si>
  <si>
    <t>Сметная прибыль</t>
  </si>
  <si>
    <t>НДС</t>
  </si>
  <si>
    <t>ВСЕГО  ПО  РАЗДЕЛУ 1  с  НДС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</si>
  <si>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</si>
  <si>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</si>
  <si>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</si>
  <si>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</si>
  <si>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</si>
  <si>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</si>
  <si>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</si>
  <si>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</si>
  <si>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</si>
  <si>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</si>
  <si>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ВСЕГО  ПО  РАЗДЕЛУ 2  с  НДС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</si>
  <si>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</si>
  <si>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</si>
  <si>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</si>
  <si>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</si>
  <si>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</si>
  <si>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</si>
  <si>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</si>
  <si>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</si>
  <si>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</si>
  <si>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</si>
  <si>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</si>
  <si>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</si>
  <si>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</si>
  <si>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</si>
  <si>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</si>
  <si>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</si>
  <si>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</si>
  <si>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 xml:space="preserve">Е33-04-015-01 </t>
  </si>
  <si>
    <t>Устройство заземления опор ВЛ и подстанций, 10 м шин заземления</t>
  </si>
  <si>
    <t>73.</t>
  </si>
  <si>
    <t>ВСЕГО  ПО  РАЗДЕЛУ 3  с  НДС</t>
  </si>
  <si>
    <t>74.</t>
  </si>
  <si>
    <t>75.</t>
  </si>
  <si>
    <t xml:space="preserve">С Прайс5. </t>
  </si>
  <si>
    <t>76.</t>
  </si>
  <si>
    <t xml:space="preserve">С Прайс6. </t>
  </si>
  <si>
    <t>77.</t>
  </si>
  <si>
    <t xml:space="preserve">С Прайс7. </t>
  </si>
  <si>
    <t>78.</t>
  </si>
  <si>
    <t xml:space="preserve">С Прайс8. </t>
  </si>
  <si>
    <t>79.</t>
  </si>
  <si>
    <t xml:space="preserve">С Прайс3. </t>
  </si>
  <si>
    <t>80.</t>
  </si>
  <si>
    <t xml:space="preserve">С Прайс4. </t>
  </si>
  <si>
    <t>81.</t>
  </si>
  <si>
    <t>82.</t>
  </si>
  <si>
    <t xml:space="preserve">С Прайс9. </t>
  </si>
  <si>
    <t>83.</t>
  </si>
  <si>
    <t xml:space="preserve">С Прайс10. </t>
  </si>
  <si>
    <t>84.</t>
  </si>
  <si>
    <t xml:space="preserve">С Прайс11. </t>
  </si>
  <si>
    <t>85.</t>
  </si>
  <si>
    <t xml:space="preserve">С Прайс22. </t>
  </si>
  <si>
    <t>86.</t>
  </si>
  <si>
    <t xml:space="preserve">С Прайс12. </t>
  </si>
  <si>
    <t>88.</t>
  </si>
  <si>
    <t xml:space="preserve">С Прайс14. </t>
  </si>
  <si>
    <t>240.00</t>
  </si>
  <si>
    <t>89.</t>
  </si>
  <si>
    <t xml:space="preserve">С Прайс15. </t>
  </si>
  <si>
    <t>90.</t>
  </si>
  <si>
    <t xml:space="preserve">С Прайс16. </t>
  </si>
  <si>
    <t>91.</t>
  </si>
  <si>
    <t xml:space="preserve">С Прайс17. </t>
  </si>
  <si>
    <t>92.</t>
  </si>
  <si>
    <t>93.</t>
  </si>
  <si>
    <t xml:space="preserve">С Прайс18. </t>
  </si>
  <si>
    <t>94.</t>
  </si>
  <si>
    <t xml:space="preserve">С Прайс19. </t>
  </si>
  <si>
    <t>95.</t>
  </si>
  <si>
    <t xml:space="preserve">С Прайс20. </t>
  </si>
  <si>
    <t>97.</t>
  </si>
  <si>
    <t>98.</t>
  </si>
  <si>
    <t>99.</t>
  </si>
  <si>
    <t>100.</t>
  </si>
  <si>
    <t xml:space="preserve">С Прайс21. </t>
  </si>
  <si>
    <t>ВСЕГО  ПО  РАЗДЕЛУ 4  с  НДС</t>
  </si>
  <si>
    <t xml:space="preserve">Х402-1-5 </t>
  </si>
  <si>
    <t>Перевозка строительных грузов автомобильным транспортом (кроме массовых навалочных, перевозимых автомобилями самосвалами) на расстояние 5 км (класс груза 1), т</t>
  </si>
  <si>
    <t>ВСЕГО  ПО  РАЗДЕЛУ 5  с  НДС</t>
  </si>
  <si>
    <t>.    ИТОГО  ПО  РАЗДЕЛУ 6</t>
  </si>
  <si>
    <t>. ВСЕГО  ПО  РАЗДЕЛУ 6</t>
  </si>
  <si>
    <t>ВСЕГО  ПО  РАЗДЕЛУ 6  с  НДС</t>
  </si>
  <si>
    <t xml:space="preserve">С Прайс1. </t>
  </si>
  <si>
    <t>.    ИТОГО  ПО  РАЗДЕЛУ 7</t>
  </si>
  <si>
    <t>. ВСЕГО  ПО  РАЗДЕЛУ 7</t>
  </si>
  <si>
    <t>ВСЕГО  ПО  РАЗДЕЛУ 7  с  НДС</t>
  </si>
  <si>
    <t>ВСЕГО  ПО  СМЕТЕ  с  НДС</t>
  </si>
  <si>
    <t>Составлен в ценах по состоянию на: 3 кв.2019 г.</t>
  </si>
  <si>
    <t>2 БКТП</t>
  </si>
  <si>
    <t>ВЛ-10 кВ</t>
  </si>
  <si>
    <t>КЛ-0,4 кВ</t>
  </si>
  <si>
    <t>Договор от 24.01.2019 №72/19-Ю</t>
  </si>
  <si>
    <t>БЛОК 1
Утвержденная сметная стоимость  строительства объекта  (в ценах 3 квартала 2019)</t>
  </si>
  <si>
    <t>Содержание службы заказчика - застройщика, кроме строительного контроля 4,36%</t>
  </si>
  <si>
    <t>Составлена в текущих ценах на S1218_1 по НБ: "ТСНБ ТЕР-2001 Республики Коми с доп. и изм. 3".</t>
  </si>
  <si>
    <t>Раздел 1.  Строительство ВЛ-10 кВ</t>
  </si>
  <si>
    <t xml:space="preserve">Е33-04-042-03 </t>
  </si>
  <si>
    <t>Демонтаж опор ВЛ 0,38-10 кВ без приставок одностоечных с двумя подкосами, 1 опора</t>
  </si>
  <si>
    <t>4 151.38</t>
  </si>
  <si>
    <t>3 543.49</t>
  </si>
  <si>
    <t>8 302.77</t>
  </si>
  <si>
    <t>1 215.80</t>
  </si>
  <si>
    <t>7 086.97</t>
  </si>
  <si>
    <t>607.90</t>
  </si>
  <si>
    <t>713.40</t>
  </si>
  <si>
    <t>1 426.79</t>
  </si>
  <si>
    <t xml:space="preserve">Е33-04-040-03 </t>
  </si>
  <si>
    <t>Демонтаж 3-х проводов ВЛ 6-10 кВ, 1 опора (3 провода)</t>
  </si>
  <si>
    <t>965.93</t>
  </si>
  <si>
    <t>512.23</t>
  </si>
  <si>
    <t>5 795.59</t>
  </si>
  <si>
    <t>2 722.23</t>
  </si>
  <si>
    <t>3 073.36</t>
  </si>
  <si>
    <t>453.71</t>
  </si>
  <si>
    <t>113.14</t>
  </si>
  <si>
    <t>678.86</t>
  </si>
  <si>
    <t>0.45</t>
  </si>
  <si>
    <t>34.875</t>
  </si>
  <si>
    <t>100.13</t>
  </si>
  <si>
    <t>68.39</t>
  </si>
  <si>
    <t>3 491.98</t>
  </si>
  <si>
    <t>1 106.83</t>
  </si>
  <si>
    <t>2 385.15</t>
  </si>
  <si>
    <t>4.95225</t>
  </si>
  <si>
    <t>31.74</t>
  </si>
  <si>
    <t>17.85</t>
  </si>
  <si>
    <t>622.57</t>
  </si>
  <si>
    <t>2.476125</t>
  </si>
  <si>
    <t>Объем: 1.125*31</t>
  </si>
  <si>
    <t>173.96</t>
  </si>
  <si>
    <t>115.01</t>
  </si>
  <si>
    <t>695.82</t>
  </si>
  <si>
    <t>235.77</t>
  </si>
  <si>
    <t>460.06</t>
  </si>
  <si>
    <t>1.156</t>
  </si>
  <si>
    <t>58.94</t>
  </si>
  <si>
    <t>28.66</t>
  </si>
  <si>
    <t>114.65</t>
  </si>
  <si>
    <t>0.456</t>
  </si>
  <si>
    <t>138.26</t>
  </si>
  <si>
    <t>553.06</t>
  </si>
  <si>
    <t>93.00</t>
  </si>
  <si>
    <t>23.25</t>
  </si>
  <si>
    <t>38.875</t>
  </si>
  <si>
    <t>613.98</t>
  </si>
  <si>
    <t>519.94</t>
  </si>
  <si>
    <t>23 868.38</t>
  </si>
  <si>
    <t>3 655.68</t>
  </si>
  <si>
    <t>20 212.70</t>
  </si>
  <si>
    <t>17.105</t>
  </si>
  <si>
    <t>94.04</t>
  </si>
  <si>
    <t>138.56</t>
  </si>
  <si>
    <t>5 386.58</t>
  </si>
  <si>
    <t>18.66</t>
  </si>
  <si>
    <t>188.60</t>
  </si>
  <si>
    <t>135.17</t>
  </si>
  <si>
    <t>1 697.39</t>
  </si>
  <si>
    <t>480.87</t>
  </si>
  <si>
    <t>1 216.52</t>
  </si>
  <si>
    <t>53.43</t>
  </si>
  <si>
    <t>40.41</t>
  </si>
  <si>
    <t>363.72</t>
  </si>
  <si>
    <t>218.59</t>
  </si>
  <si>
    <t>154.48</t>
  </si>
  <si>
    <t>1 967.35</t>
  </si>
  <si>
    <t>577.04</t>
  </si>
  <si>
    <t>1 390.31</t>
  </si>
  <si>
    <t>64.12</t>
  </si>
  <si>
    <t>46.19</t>
  </si>
  <si>
    <t>415.68</t>
  </si>
  <si>
    <t>2 499.84</t>
  </si>
  <si>
    <t>1 463.29</t>
  </si>
  <si>
    <t>22 498.55</t>
  </si>
  <si>
    <t>7 930.30</t>
  </si>
  <si>
    <t>13 169.57</t>
  </si>
  <si>
    <t>34.2</t>
  </si>
  <si>
    <t>881.14</t>
  </si>
  <si>
    <t>225.16</t>
  </si>
  <si>
    <t>2 026.46</t>
  </si>
  <si>
    <t>5 424.78</t>
  </si>
  <si>
    <t>3 437.51</t>
  </si>
  <si>
    <t>27 123.88</t>
  </si>
  <si>
    <t>9 159.26</t>
  </si>
  <si>
    <t>17 187.57</t>
  </si>
  <si>
    <t>39.5</t>
  </si>
  <si>
    <t>1 831.85</t>
  </si>
  <si>
    <t>536.93</t>
  </si>
  <si>
    <t>2 684.63</t>
  </si>
  <si>
    <t>8 489.88</t>
  </si>
  <si>
    <t>5 526.40</t>
  </si>
  <si>
    <t>33 959.52</t>
  </si>
  <si>
    <t>11 232.27</t>
  </si>
  <si>
    <t>22 105.62</t>
  </si>
  <si>
    <t>48.44</t>
  </si>
  <si>
    <t>2 808.07</t>
  </si>
  <si>
    <t>868.90</t>
  </si>
  <si>
    <t>3 475.59</t>
  </si>
  <si>
    <t xml:space="preserve">Е33-04-030-02 </t>
  </si>
  <si>
    <t>Установка разрядников вручную, 1 компл.</t>
  </si>
  <si>
    <t>1 248.47</t>
  </si>
  <si>
    <t>214.95</t>
  </si>
  <si>
    <t>17 478.58</t>
  </si>
  <si>
    <t>14 218.88</t>
  </si>
  <si>
    <t>3 009.28</t>
  </si>
  <si>
    <t>61.32</t>
  </si>
  <si>
    <t>1 015.63</t>
  </si>
  <si>
    <t xml:space="preserve">Е33-04-030-04 </t>
  </si>
  <si>
    <t>Установка разъединителей вручную, 1 компл.</t>
  </si>
  <si>
    <t>2 326.66</t>
  </si>
  <si>
    <t>361.50</t>
  </si>
  <si>
    <t>4 653.32</t>
  </si>
  <si>
    <t>3 896.98</t>
  </si>
  <si>
    <t>723.01</t>
  </si>
  <si>
    <t>14.84</t>
  </si>
  <si>
    <t>1 948.49</t>
  </si>
  <si>
    <t>39.8</t>
  </si>
  <si>
    <t>585.32</t>
  </si>
  <si>
    <t>174.21</t>
  </si>
  <si>
    <t>23 295.67</t>
  </si>
  <si>
    <t>15 871.13</t>
  </si>
  <si>
    <t>6 933.72</t>
  </si>
  <si>
    <t>71.64</t>
  </si>
  <si>
    <t>398.77</t>
  </si>
  <si>
    <t xml:space="preserve">Е33-04-009-06 </t>
  </si>
  <si>
    <t>Подвеска проводов ВЛ 6-10 кВ в населенной местности сечением свыше 35 мм2 с помощью механизмов, 1 км линии (3 провода) при 10 опорах</t>
  </si>
  <si>
    <t>1.004</t>
  </si>
  <si>
    <t>41 221.66</t>
  </si>
  <si>
    <t>23 574.63</t>
  </si>
  <si>
    <t>41 386.54</t>
  </si>
  <si>
    <t>14 286.59</t>
  </si>
  <si>
    <t>23 668.93</t>
  </si>
  <si>
    <t>57.23</t>
  </si>
  <si>
    <t>57.45892</t>
  </si>
  <si>
    <t>14 229.67</t>
  </si>
  <si>
    <t>5 908.54</t>
  </si>
  <si>
    <t>5 932.17</t>
  </si>
  <si>
    <t>22.38</t>
  </si>
  <si>
    <t>22.46952</t>
  </si>
  <si>
    <t>87 789.46</t>
  </si>
  <si>
    <t>378.27042</t>
  </si>
  <si>
    <t>23 864.92</t>
  </si>
  <si>
    <t>86.01377</t>
  </si>
  <si>
    <t>.   НАКЛАДНЫЕ РАСХОДЫ - (%=113 - по стр. 1, 2, 8-17; %=100 - по стр. 3-6)</t>
  </si>
  <si>
    <t>125 647.26</t>
  </si>
  <si>
    <t>.   СМЕТНАЯ ПРИБЫЛЬ - (%=60 - по стр. 1-6, 8-17)</t>
  </si>
  <si>
    <t>66 992.63</t>
  </si>
  <si>
    <t>7 002.98</t>
  </si>
  <si>
    <t>Раздел 2.  Материалы ВЛ-10 кВ</t>
  </si>
  <si>
    <t>Стойка железобетонная СВ 110-5, шт</t>
  </si>
  <si>
    <t>8 140.00</t>
  </si>
  <si>
    <t>252 340.00</t>
  </si>
  <si>
    <t>Траверса ТМ 3, шт</t>
  </si>
  <si>
    <t>2 310.00</t>
  </si>
  <si>
    <t>4 620.00</t>
  </si>
  <si>
    <t>Траверса ТМ 6, шт</t>
  </si>
  <si>
    <t>2 480.60</t>
  </si>
  <si>
    <t>4 961.20</t>
  </si>
  <si>
    <t>Траверса ТМ 60, шт</t>
  </si>
  <si>
    <t>1 908.51</t>
  </si>
  <si>
    <t>9 542.55</t>
  </si>
  <si>
    <t>Траверса ТМ 73, шт</t>
  </si>
  <si>
    <t>1 145.32</t>
  </si>
  <si>
    <t>5 726.60</t>
  </si>
  <si>
    <t>Накладка ОГ 52, шт</t>
  </si>
  <si>
    <t>238.48</t>
  </si>
  <si>
    <t>1 192.40</t>
  </si>
  <si>
    <t>Накладка ОГ 56, шт</t>
  </si>
  <si>
    <t>1 570.14</t>
  </si>
  <si>
    <t>18 841.68</t>
  </si>
  <si>
    <t>Накладка ОГ 58, шт</t>
  </si>
  <si>
    <t>2 333.10</t>
  </si>
  <si>
    <t>4 666.20</t>
  </si>
  <si>
    <t>Крепление укоса У 52, шт</t>
  </si>
  <si>
    <t>643.50</t>
  </si>
  <si>
    <t>7 722.00</t>
  </si>
  <si>
    <t>Хомут Х 1, шт</t>
  </si>
  <si>
    <t>135.85</t>
  </si>
  <si>
    <t>1 630.20</t>
  </si>
  <si>
    <t>Хомут Х 7, шт</t>
  </si>
  <si>
    <t>57.20</t>
  </si>
  <si>
    <t>228.80</t>
  </si>
  <si>
    <t xml:space="preserve">С Прайс13. </t>
  </si>
  <si>
    <t>Хомут Х 8, шт</t>
  </si>
  <si>
    <t>138.60</t>
  </si>
  <si>
    <t>277.20</t>
  </si>
  <si>
    <t>Хомут Х 42, шт</t>
  </si>
  <si>
    <t>209.00</t>
  </si>
  <si>
    <t>418.00</t>
  </si>
  <si>
    <t>Хомут Х 51, шт</t>
  </si>
  <si>
    <t>178.75</t>
  </si>
  <si>
    <t>1 787.50</t>
  </si>
  <si>
    <t>Крепление изолятора КИ 1, шт</t>
  </si>
  <si>
    <t>329.00</t>
  </si>
  <si>
    <t>1 316.00</t>
  </si>
  <si>
    <t>Заземляющий проводник ЗП 1, м</t>
  </si>
  <si>
    <t>121.55</t>
  </si>
  <si>
    <t>1 580.15</t>
  </si>
  <si>
    <t>Кронштейн РА 1, шт</t>
  </si>
  <si>
    <t>1 595.00</t>
  </si>
  <si>
    <t>3 190.00</t>
  </si>
  <si>
    <t>Кронштейн РА 2, шт</t>
  </si>
  <si>
    <t>217.80</t>
  </si>
  <si>
    <t>435.60</t>
  </si>
  <si>
    <t>Кронштейн РА 4, шт</t>
  </si>
  <si>
    <t>165.00</t>
  </si>
  <si>
    <t>330.00</t>
  </si>
  <si>
    <t>Кронштейн РА 5, шт</t>
  </si>
  <si>
    <t>148.51</t>
  </si>
  <si>
    <t>891.06</t>
  </si>
  <si>
    <t>Вал привода РА 7, шт</t>
  </si>
  <si>
    <t>1 835.00</t>
  </si>
  <si>
    <t>7 340.00</t>
  </si>
  <si>
    <t xml:space="preserve">С Прайс23. </t>
  </si>
  <si>
    <t>Кронштейн У 4, шт</t>
  </si>
  <si>
    <t>799.70</t>
  </si>
  <si>
    <t>1 599.40</t>
  </si>
  <si>
    <t xml:space="preserve">С Прайс27. </t>
  </si>
  <si>
    <t>Провод СИП-3 1х50, м</t>
  </si>
  <si>
    <t>48.30</t>
  </si>
  <si>
    <t>147 942.90</t>
  </si>
  <si>
    <t xml:space="preserve">С Прайс28. </t>
  </si>
  <si>
    <t>Линейный разъединитель РЛНД 1-10/400 У1, компл.</t>
  </si>
  <si>
    <t>11 347.80</t>
  </si>
  <si>
    <t>22 695.60</t>
  </si>
  <si>
    <t xml:space="preserve">С Прайс29. </t>
  </si>
  <si>
    <t>Изолятор ШФ 20УО, шт</t>
  </si>
  <si>
    <t>352.00</t>
  </si>
  <si>
    <t>24 288.00</t>
  </si>
  <si>
    <t xml:space="preserve">С Прайс30. </t>
  </si>
  <si>
    <t>Колпачек КП 22, шт</t>
  </si>
  <si>
    <t>683.10</t>
  </si>
  <si>
    <t xml:space="preserve">С Прайс31. </t>
  </si>
  <si>
    <t>Вязка спиральная ВС 35/50, шт</t>
  </si>
  <si>
    <t>64.00</t>
  </si>
  <si>
    <t>8 832.00</t>
  </si>
  <si>
    <t xml:space="preserve">С Прайс32. </t>
  </si>
  <si>
    <t>Зажим ПА-2-1, шт</t>
  </si>
  <si>
    <t>42.00</t>
  </si>
  <si>
    <t>1 764.00</t>
  </si>
  <si>
    <t xml:space="preserve">С Прайс33. </t>
  </si>
  <si>
    <t>Зажим плашечный ПА-2, шт</t>
  </si>
  <si>
    <t>44.20</t>
  </si>
  <si>
    <t>928.20</t>
  </si>
  <si>
    <t xml:space="preserve">С Прайс34. </t>
  </si>
  <si>
    <t>Зажим прокалывающий ОА3-2С, шт</t>
  </si>
  <si>
    <t>254.40</t>
  </si>
  <si>
    <t>1 526.40</t>
  </si>
  <si>
    <t xml:space="preserve">С Прайс35. </t>
  </si>
  <si>
    <t>Разрядник РДИП-10, шт</t>
  </si>
  <si>
    <t>5 621.00</t>
  </si>
  <si>
    <t>84 315.00</t>
  </si>
  <si>
    <t xml:space="preserve">С Прайс36. </t>
  </si>
  <si>
    <t>Зажим натяжной анкерный SO 255, шт</t>
  </si>
  <si>
    <t>1 737.26</t>
  </si>
  <si>
    <t>52 117.80</t>
  </si>
  <si>
    <t xml:space="preserve">С Прайс37. </t>
  </si>
  <si>
    <t>Изолятор полимерный ЛК-70/10, шт</t>
  </si>
  <si>
    <t>878.00</t>
  </si>
  <si>
    <t>26 340.00</t>
  </si>
  <si>
    <t xml:space="preserve">С Прайс39. </t>
  </si>
  <si>
    <t>Зажим аппаратный А2А-50 10, шт</t>
  </si>
  <si>
    <t>145.70</t>
  </si>
  <si>
    <t>1 748.40</t>
  </si>
  <si>
    <t xml:space="preserve">С Прайс42. </t>
  </si>
  <si>
    <t>Замок для установки на привод, шт</t>
  </si>
  <si>
    <t>120.00</t>
  </si>
  <si>
    <t xml:space="preserve">С Прайс43. </t>
  </si>
  <si>
    <t>Болт М 12х40, шт</t>
  </si>
  <si>
    <t>39.00</t>
  </si>
  <si>
    <t>858.00</t>
  </si>
  <si>
    <t xml:space="preserve">С Прайс44. </t>
  </si>
  <si>
    <t>Болт Б5, шт</t>
  </si>
  <si>
    <t>160.00</t>
  </si>
  <si>
    <t>320.00</t>
  </si>
  <si>
    <t xml:space="preserve">С Прайс45. </t>
  </si>
  <si>
    <t>Шайба 12, шт</t>
  </si>
  <si>
    <t>27.94</t>
  </si>
  <si>
    <t xml:space="preserve">С Прайс46. </t>
  </si>
  <si>
    <t>Гайка М12, шт</t>
  </si>
  <si>
    <t>12.00</t>
  </si>
  <si>
    <t>264.00</t>
  </si>
  <si>
    <t xml:space="preserve">С Прайс47. </t>
  </si>
  <si>
    <t>Стяжка Г1, шт</t>
  </si>
  <si>
    <t>501.93</t>
  </si>
  <si>
    <t>3 011.58</t>
  </si>
  <si>
    <t xml:space="preserve">С Прайс48. </t>
  </si>
  <si>
    <t>Круг стальной В18, м</t>
  </si>
  <si>
    <t>47 880.00</t>
  </si>
  <si>
    <t xml:space="preserve">С Прайс49. </t>
  </si>
  <si>
    <t>Круг стальной В12, м</t>
  </si>
  <si>
    <t>53.00</t>
  </si>
  <si>
    <t>2 120.00</t>
  </si>
  <si>
    <t>758 539.46</t>
  </si>
  <si>
    <t>151 707.89</t>
  </si>
  <si>
    <t>910 247.35</t>
  </si>
  <si>
    <t>Раздел 3.  Участок ГНБ</t>
  </si>
  <si>
    <t xml:space="preserve">Е01-01-022-01 </t>
  </si>
  <si>
    <t xml:space="preserve">(Приказ № 191-ОД от 12.07.2011) </t>
  </si>
  <si>
    <t>Разработка грунта в траншеях экскаватором &lt;обратная лопата&gt; с ковшом вместимостью 1 (1-1,2) м3, группа грунтов 1, 1000 м3 грунта</t>
  </si>
  <si>
    <t>0.018</t>
  </si>
  <si>
    <t>38 267.87</t>
  </si>
  <si>
    <t>688.82</t>
  </si>
  <si>
    <t>6 364.07</t>
  </si>
  <si>
    <t>114.55</t>
  </si>
  <si>
    <t>18.88</t>
  </si>
  <si>
    <t>0.33984</t>
  </si>
  <si>
    <t xml:space="preserve">Е01-01-033-01 </t>
  </si>
  <si>
    <t>Засыпка траншей и котлованов с перемещением грунта до 5 м бульдозерами мощностью 59 кВт (80 л.с.), группа грунтов 1, 1000 м3 грунта</t>
  </si>
  <si>
    <t>8 390.32</t>
  </si>
  <si>
    <t>151.03</t>
  </si>
  <si>
    <t>2 193.89</t>
  </si>
  <si>
    <t>39.49</t>
  </si>
  <si>
    <t>0.1368</t>
  </si>
  <si>
    <t xml:space="preserve">Е34-02-019-01 </t>
  </si>
  <si>
    <t xml:space="preserve">(Приказ № 418/ГС от 07.11.2013) 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</si>
  <si>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 40 Кн, 1 м</t>
  </si>
  <si>
    <t>5 508.51</t>
  </si>
  <si>
    <t>4 161.17</t>
  </si>
  <si>
    <t>115 678.81</t>
  </si>
  <si>
    <t>1 670.86</t>
  </si>
  <si>
    <t>87 384.60</t>
  </si>
  <si>
    <t>0.32</t>
  </si>
  <si>
    <t>79.56</t>
  </si>
  <si>
    <t>494.22</t>
  </si>
  <si>
    <t>10 378.67</t>
  </si>
  <si>
    <t>64.68</t>
  </si>
  <si>
    <t xml:space="preserve">Е22-01-021-03 </t>
  </si>
  <si>
    <t>Укладка трубопроводов из полиэтиленовых труб диаметром 100 мм, 1 км трубопровода</t>
  </si>
  <si>
    <t>0.021</t>
  </si>
  <si>
    <t>321 121.80</t>
  </si>
  <si>
    <t>37 558.64</t>
  </si>
  <si>
    <t>6 743.56</t>
  </si>
  <si>
    <t>1 148.62</t>
  </si>
  <si>
    <t>788.73</t>
  </si>
  <si>
    <t>225.04</t>
  </si>
  <si>
    <t>4.72584</t>
  </si>
  <si>
    <t>54 695.97</t>
  </si>
  <si>
    <t>10 070.79</t>
  </si>
  <si>
    <t>211.49</t>
  </si>
  <si>
    <t>30.28</t>
  </si>
  <si>
    <t>0.63588</t>
  </si>
  <si>
    <t xml:space="preserve">Ц08-02-148-04 </t>
  </si>
  <si>
    <t>Кабель до 35 кВ в проложенных трубах, блоках и коробах, масса 1 м кабеля до 6 кг, 100 м кабеля</t>
  </si>
  <si>
    <t>0.21</t>
  </si>
  <si>
    <t>18 368.08</t>
  </si>
  <si>
    <t>10 399.57</t>
  </si>
  <si>
    <t>3 857.30</t>
  </si>
  <si>
    <t>1 520.65</t>
  </si>
  <si>
    <t>2 183.91</t>
  </si>
  <si>
    <t>6.048</t>
  </si>
  <si>
    <t>7 241.18</t>
  </si>
  <si>
    <t>1 905.40</t>
  </si>
  <si>
    <t>400.13</t>
  </si>
  <si>
    <t xml:space="preserve">С Прайс 50. </t>
  </si>
  <si>
    <t xml:space="preserve">С Прайс 51. </t>
  </si>
  <si>
    <t>Труба ПЭ-100 SR13.6-110x8.1, м</t>
  </si>
  <si>
    <t>378.45</t>
  </si>
  <si>
    <t>7 947.45</t>
  </si>
  <si>
    <t>4 340.13</t>
  </si>
  <si>
    <t>91 197.09</t>
  </si>
  <si>
    <t>17.49384</t>
  </si>
  <si>
    <t>11 144.33</t>
  </si>
  <si>
    <t>67.48302</t>
  </si>
  <si>
    <t>.   НАКЛАДНЫЕ РАСХОДЫ - (%=100 - по стр. 64)</t>
  </si>
  <si>
    <t>1 920.78</t>
  </si>
  <si>
    <t>.   СМЕТНАЯ ПРИБЫЛЬ - (%=65 - по стр. 64)</t>
  </si>
  <si>
    <t>1 248.51</t>
  </si>
  <si>
    <t>2 819.48</t>
  </si>
  <si>
    <t>89 013.18</t>
  </si>
  <si>
    <t>11.44584</t>
  </si>
  <si>
    <t>10 744.20</t>
  </si>
  <si>
    <t>65.79252</t>
  </si>
  <si>
    <t>.   НАКЛАДНЫЕ РАСХОДЫ - (%=100 - по стр. 60, 61; %=105 - по стр. 62; %=137 - по стр. 63)</t>
  </si>
  <si>
    <t>14 669.40</t>
  </si>
  <si>
    <t>.   СМЕТНАЯ ПРИБЫЛЬ - (%=50 - по стр. 60, 61; %=65 - по стр. 62; %=89 - по стр. 63)</t>
  </si>
  <si>
    <t>9 119.71</t>
  </si>
  <si>
    <t>16 590.18</t>
  </si>
  <si>
    <t>10 368.22</t>
  </si>
  <si>
    <t>Раздел 4.  Строительство КЛ-0,4 кВ</t>
  </si>
  <si>
    <t xml:space="preserve">Е01-02-057-02 </t>
  </si>
  <si>
    <t>Разработка грунта вручную в траншеях глубиной до 2 м без креплений с откосами, группа грунтов 2, 100 м3 грунта</t>
  </si>
  <si>
    <t>31 408.30</t>
  </si>
  <si>
    <t xml:space="preserve">Ц08-02-142-01 </t>
  </si>
  <si>
    <t>Устройство постели при одном кабеле в траншее, 100 м кабеля</t>
  </si>
  <si>
    <t>13 740.09</t>
  </si>
  <si>
    <t>12 039.77</t>
  </si>
  <si>
    <t>1 666.98</t>
  </si>
  <si>
    <t>1 440.46</t>
  </si>
  <si>
    <t xml:space="preserve">Ц08-02-141-04 </t>
  </si>
  <si>
    <t>Кабель до 35 кВ в готовых траншеях без покрытий, масса 1 м до 6 кг, 100 м кабеля</t>
  </si>
  <si>
    <t>15 199.92</t>
  </si>
  <si>
    <t>8 977.20</t>
  </si>
  <si>
    <t>5 481.17</t>
  </si>
  <si>
    <t>1 584.87</t>
  </si>
  <si>
    <t xml:space="preserve">Е22-01-021-04 </t>
  </si>
  <si>
    <t>Укладка трубопроводов из полиэтиленовых труб диаметром 125 мм, 1 км трубопровода</t>
  </si>
  <si>
    <t>395 645.66</t>
  </si>
  <si>
    <t>43 433.35</t>
  </si>
  <si>
    <t>273.76</t>
  </si>
  <si>
    <t>66 537.37</t>
  </si>
  <si>
    <t>11 700.78</t>
  </si>
  <si>
    <t>35.13</t>
  </si>
  <si>
    <t xml:space="preserve">Ц08-02-165-06 </t>
  </si>
  <si>
    <t>Муфта концевая эпоксидная для 3-жильного кабеля напряжением до 10 кВ, сечение одной жилы до 70 мм2, 1 шт.</t>
  </si>
  <si>
    <t>8 688.18</t>
  </si>
  <si>
    <t>6 949.73</t>
  </si>
  <si>
    <t>1 672.01</t>
  </si>
  <si>
    <t>1 515.52</t>
  </si>
  <si>
    <t xml:space="preserve">Е01-02-061-02 </t>
  </si>
  <si>
    <t>Засыпка вручную траншей, пазух котлованов и ям, группа грунтов 2, 100 м3 грунта</t>
  </si>
  <si>
    <t>19 055.09</t>
  </si>
  <si>
    <t>97.2</t>
  </si>
  <si>
    <t>.   НАКЛАДНЫЕ РАСХОДЫ - (%=100 - по стр. 68-70, 72)</t>
  </si>
  <si>
    <t>.   СМЕТНАЯ ПРИБЫЛЬ - (%=65 - по стр. 68-70, 72)</t>
  </si>
  <si>
    <t>.   НАКЛАДНЫЕ РАСХОДЫ - (%=84 - по стр. 67, 73; %=137 - по стр. 71)</t>
  </si>
  <si>
    <t>.   СМЕТНАЯ ПРИБЫЛЬ - (%=45 - по стр. 67, 73; %=89 - по стр. 71)</t>
  </si>
  <si>
    <t>Раздел 5.  Материалы КЛ-0,4 кВ</t>
  </si>
  <si>
    <t xml:space="preserve">С Прайс52. </t>
  </si>
  <si>
    <t xml:space="preserve">С Прайс53. </t>
  </si>
  <si>
    <t xml:space="preserve">С Прайс56. </t>
  </si>
  <si>
    <t>Труба полиэтиленовая ПЭ-100, м</t>
  </si>
  <si>
    <t xml:space="preserve">С Прайс57. </t>
  </si>
  <si>
    <t>Песок, м3 песка</t>
  </si>
  <si>
    <t>545.00</t>
  </si>
  <si>
    <t xml:space="preserve">С Прайс59. </t>
  </si>
  <si>
    <t>Лента сигнальная ЛСЭ-300 "ОСТОРОЖНО КАБЕЛЬ", м</t>
  </si>
  <si>
    <t>4 450.00</t>
  </si>
  <si>
    <t xml:space="preserve">С Прайс60. </t>
  </si>
  <si>
    <t>Бирка кабельная маркироввочная квадратная У-134, шт</t>
  </si>
  <si>
    <t>220.00</t>
  </si>
  <si>
    <t xml:space="preserve">С Прайс61. </t>
  </si>
  <si>
    <t>Однокомпонентная огнестойкая пена дкс, баллон</t>
  </si>
  <si>
    <t>2 090.00</t>
  </si>
  <si>
    <t>4 180.00</t>
  </si>
  <si>
    <t xml:space="preserve">Е01-01-014-06 </t>
  </si>
  <si>
    <t>Разработка грунта с погрузкой на автомобили-самосвалы экскаваторами с ковшом вместимостью 0,25 м3, группа грунтов 3, 1000 м3 грунта</t>
  </si>
  <si>
    <t>0.053</t>
  </si>
  <si>
    <t>123 463.25</t>
  </si>
  <si>
    <t>114 475.95</t>
  </si>
  <si>
    <t>6 543.55</t>
  </si>
  <si>
    <t>471.50</t>
  </si>
  <si>
    <t>6 067.23</t>
  </si>
  <si>
    <t>43.62</t>
  </si>
  <si>
    <t>2.31186</t>
  </si>
  <si>
    <t>8 896.30</t>
  </si>
  <si>
    <t>36 222.31</t>
  </si>
  <si>
    <t>1 919.78</t>
  </si>
  <si>
    <t>125.48</t>
  </si>
  <si>
    <t>6.65044</t>
  </si>
  <si>
    <t>0.0795</t>
  </si>
  <si>
    <t>2 496.96</t>
  </si>
  <si>
    <t>12.243</t>
  </si>
  <si>
    <t xml:space="preserve">Е311-01-142-1 </t>
  </si>
  <si>
    <t>Погрузка. Песок (выгрузка учитывает перекидку и штабелирование), т</t>
  </si>
  <si>
    <t>31.68</t>
  </si>
  <si>
    <t>1 773.90</t>
  </si>
  <si>
    <t>339.78</t>
  </si>
  <si>
    <t>1.008</t>
  </si>
  <si>
    <t xml:space="preserve">Е311-01-142-2 </t>
  </si>
  <si>
    <t>Разгрузка. Песок (выгрузка учитывает перекидку и штабелирование), т</t>
  </si>
  <si>
    <t>41.25</t>
  </si>
  <si>
    <t>2 309.87</t>
  </si>
  <si>
    <t>32.43</t>
  </si>
  <si>
    <t>1 816.33</t>
  </si>
  <si>
    <t>0.03225</t>
  </si>
  <si>
    <t>1.806</t>
  </si>
  <si>
    <t xml:space="preserve">Е08-01-002-01 </t>
  </si>
  <si>
    <t>Устройство основания под фундаменты песчаного, 1 м3 основания</t>
  </si>
  <si>
    <t>16.13</t>
  </si>
  <si>
    <t>1 816.25</t>
  </si>
  <si>
    <t>417.36</t>
  </si>
  <si>
    <t>29 296.15</t>
  </si>
  <si>
    <t>7 928.80</t>
  </si>
  <si>
    <t>6 731.94</t>
  </si>
  <si>
    <t>37.099</t>
  </si>
  <si>
    <t>491.56</t>
  </si>
  <si>
    <t>75.89</t>
  </si>
  <si>
    <t>1 224.17</t>
  </si>
  <si>
    <t>0.29</t>
  </si>
  <si>
    <t>87.</t>
  </si>
  <si>
    <t>0.00216</t>
  </si>
  <si>
    <t>41.16</t>
  </si>
  <si>
    <t>0.209952</t>
  </si>
  <si>
    <t xml:space="preserve">Е06-01-001-20 </t>
  </si>
  <si>
    <t>Устройство ленточных фундаментов бетонных, 100 м3 бетона, бутобетона и железобетона в деле</t>
  </si>
  <si>
    <t>0.07</t>
  </si>
  <si>
    <t>575 245.53</t>
  </si>
  <si>
    <t>22 418.00</t>
  </si>
  <si>
    <t>40 267.19</t>
  </si>
  <si>
    <t>5 345.78</t>
  </si>
  <si>
    <t>1 569.26</t>
  </si>
  <si>
    <t>337.48</t>
  </si>
  <si>
    <t>23.6236</t>
  </si>
  <si>
    <t>76 368.35</t>
  </si>
  <si>
    <t>6 329.14</t>
  </si>
  <si>
    <t>443.04</t>
  </si>
  <si>
    <t>21.96</t>
  </si>
  <si>
    <t xml:space="preserve">Ц08-01-025-02 </t>
  </si>
  <si>
    <t>Подстанция комплектная трансформаторная напряжением до 10 кВ с трансформатором мощностью до 1000 кВ·А, 1 подстанция</t>
  </si>
  <si>
    <t>28 257.32</t>
  </si>
  <si>
    <t>15 958.96</t>
  </si>
  <si>
    <t>10 635.49</t>
  </si>
  <si>
    <t>42.3</t>
  </si>
  <si>
    <t>2 849.17</t>
  </si>
  <si>
    <t xml:space="preserve">Ц101-11-011-01 </t>
  </si>
  <si>
    <t>Проверка наличия цепи между заземлителями и заземленными элементами, 100 точек</t>
  </si>
  <si>
    <t>5 333.68</t>
  </si>
  <si>
    <t>853.39</t>
  </si>
  <si>
    <t xml:space="preserve">Ц101-11-012-01 </t>
  </si>
  <si>
    <t>Определение удельного сопротивления грунта, 1 измерение</t>
  </si>
  <si>
    <t>1 333.42</t>
  </si>
  <si>
    <t>2 666.84</t>
  </si>
  <si>
    <t xml:space="preserve">Ц101-11-024-02 </t>
  </si>
  <si>
    <t>Фазировка электрической линии или трансформатора с сетью напряжением свыше 1 кВ, 1 фазировка</t>
  </si>
  <si>
    <t>666.71</t>
  </si>
  <si>
    <t xml:space="preserve">Ц101-11-028-02 </t>
  </si>
  <si>
    <t>Измерение сопротивления изоляции мегаомметром обмоток машин и аппаратов, 1 измерение</t>
  </si>
  <si>
    <t>33.34</t>
  </si>
  <si>
    <t>66.67</t>
  </si>
  <si>
    <t>0.1</t>
  </si>
  <si>
    <t>0.2</t>
  </si>
  <si>
    <t>117 239.84</t>
  </si>
  <si>
    <t>33 173.43</t>
  </si>
  <si>
    <t>34 411.16</t>
  </si>
  <si>
    <t>136.54741</t>
  </si>
  <si>
    <t>8 592.27</t>
  </si>
  <si>
    <t>25.54934</t>
  </si>
  <si>
    <t>13 484.66</t>
  </si>
  <si>
    <t>8 765.03</t>
  </si>
  <si>
    <t>82 728.78</t>
  </si>
  <si>
    <t>16 284.20</t>
  </si>
  <si>
    <t>18 452.20</t>
  </si>
  <si>
    <t>75.487412</t>
  </si>
  <si>
    <t>5 743.10</t>
  </si>
  <si>
    <t>15.67934</t>
  </si>
  <si>
    <t>24 762.91</t>
  </si>
  <si>
    <t>14 716.57</t>
  </si>
  <si>
    <t>6 253.74</t>
  </si>
  <si>
    <t>18.76</t>
  </si>
  <si>
    <t>4 252.54</t>
  </si>
  <si>
    <t>2 501.50</t>
  </si>
  <si>
    <t>185 723.05</t>
  </si>
  <si>
    <t>49 655.24</t>
  </si>
  <si>
    <t>42 500.11</t>
  </si>
  <si>
    <t>25 983.10</t>
  </si>
  <si>
    <t>37 144.61</t>
  </si>
  <si>
    <t>222 867.66</t>
  </si>
  <si>
    <t xml:space="preserve">С Прайс62. </t>
  </si>
  <si>
    <t>2 КТП 630/10/0,4 кВ, подстанция</t>
  </si>
  <si>
    <t xml:space="preserve">С Прайс63. </t>
  </si>
  <si>
    <t>Уголок стальной 50х50х5 мм, м</t>
  </si>
  <si>
    <t>245.00</t>
  </si>
  <si>
    <t>4 410.00</t>
  </si>
  <si>
    <t>96.</t>
  </si>
  <si>
    <t xml:space="preserve">С Прайс64. </t>
  </si>
  <si>
    <t>Полоса стальная 4х40, м</t>
  </si>
  <si>
    <t>75.00</t>
  </si>
  <si>
    <t>600.00</t>
  </si>
  <si>
    <t xml:space="preserve">С Прайс65. </t>
  </si>
  <si>
    <t>Блок ФБС 12.4.3-Т, шт</t>
  </si>
  <si>
    <t>1 270.00</t>
  </si>
  <si>
    <t>25 400.00</t>
  </si>
  <si>
    <t xml:space="preserve">С Прайс66. </t>
  </si>
  <si>
    <t>75.12</t>
  </si>
  <si>
    <t>600.96</t>
  </si>
  <si>
    <t xml:space="preserve">С Прайс67. </t>
  </si>
  <si>
    <t>Щебень гравийный фракции 20-40, м3 щебня</t>
  </si>
  <si>
    <t>5 500.00</t>
  </si>
  <si>
    <t>13 750.00</t>
  </si>
  <si>
    <t xml:space="preserve">С Прайс68. </t>
  </si>
  <si>
    <t>Сталь круглая D=18мм., шт</t>
  </si>
  <si>
    <t>115.00</t>
  </si>
  <si>
    <t>5 520.00</t>
  </si>
  <si>
    <t xml:space="preserve">С Прайс69. </t>
  </si>
  <si>
    <t>Полоса стальная 5х40, м</t>
  </si>
  <si>
    <t>79.00</t>
  </si>
  <si>
    <t>3 160.00</t>
  </si>
  <si>
    <t>КЛ 0,4 кВ</t>
  </si>
  <si>
    <t>2БКТП 10 кВ</t>
  </si>
  <si>
    <t>Приказ "Комиэнерго"№266 от 31.05.2019</t>
  </si>
  <si>
    <t>503.937</t>
  </si>
  <si>
    <t>Количе-ство</t>
  </si>
  <si>
    <t>0.7969</t>
  </si>
  <si>
    <t>25 029.27</t>
  </si>
  <si>
    <t>122.7226</t>
  </si>
  <si>
    <t>97 554.66</t>
  </si>
  <si>
    <t>11 835.56</t>
  </si>
  <si>
    <t>85 482.38</t>
  </si>
  <si>
    <t>47.073</t>
  </si>
  <si>
    <t>10 227.29</t>
  </si>
  <si>
    <t>35.429</t>
  </si>
  <si>
    <t>84 511.55</t>
  </si>
  <si>
    <t>30 475.33</t>
  </si>
  <si>
    <t>49 913.21</t>
  </si>
  <si>
    <t>121.208</t>
  </si>
  <si>
    <t>8 811.85</t>
  </si>
  <si>
    <t>36.7516</t>
  </si>
  <si>
    <t>28 286.84</t>
  </si>
  <si>
    <t>11 151.42</t>
  </si>
  <si>
    <t>16 015.34</t>
  </si>
  <si>
    <t>44.352</t>
  </si>
  <si>
    <t>2 934.32</t>
  </si>
  <si>
    <t>12.397</t>
  </si>
  <si>
    <t>0.164</t>
  </si>
  <si>
    <t>64 885.89</t>
  </si>
  <si>
    <t>10 912.13</t>
  </si>
  <si>
    <t>7 123.07</t>
  </si>
  <si>
    <t>44.89664</t>
  </si>
  <si>
    <t>1 918.93</t>
  </si>
  <si>
    <t>5.76132</t>
  </si>
  <si>
    <t>69 505.47</t>
  </si>
  <si>
    <t>13 376.08</t>
  </si>
  <si>
    <t>55 597.87</t>
  </si>
  <si>
    <t>53.2</t>
  </si>
  <si>
    <t>12 124.14</t>
  </si>
  <si>
    <t>15 185.00</t>
  </si>
  <si>
    <t>77.45868</t>
  </si>
  <si>
    <t>214 131.87</t>
  </si>
  <si>
    <t>36 016.53</t>
  </si>
  <si>
    <t>132.33892</t>
  </si>
  <si>
    <t>279 858.52</t>
  </si>
  <si>
    <t>66 838.39</t>
  </si>
  <si>
    <t>207 008.80</t>
  </si>
  <si>
    <t>265.833</t>
  </si>
  <si>
    <t>34 097.60</t>
  </si>
  <si>
    <t>126.5776</t>
  </si>
  <si>
    <t>100 935.99</t>
  </si>
  <si>
    <t>65 608.39</t>
  </si>
  <si>
    <t>105 100.16</t>
  </si>
  <si>
    <t>51 126.40</t>
  </si>
  <si>
    <t>245.07792</t>
  </si>
  <si>
    <t>51 358.54</t>
  </si>
  <si>
    <t>29 516.06</t>
  </si>
  <si>
    <t>52 862.03</t>
  </si>
  <si>
    <t>АПВБбШв 4х150, м</t>
  </si>
  <si>
    <t>650.21</t>
  </si>
  <si>
    <t>Концевая муфта Raychem EPKT 0047-CEE01 (70-150), шт</t>
  </si>
  <si>
    <t>2 071.00</t>
  </si>
  <si>
    <t>16 568.00</t>
  </si>
  <si>
    <t>62 065.80</t>
  </si>
  <si>
    <t>24.15</t>
  </si>
  <si>
    <t>13 161.75</t>
  </si>
  <si>
    <t>633 817.75</t>
  </si>
  <si>
    <t>126 763.55</t>
  </si>
  <si>
    <t>760 581.30</t>
  </si>
  <si>
    <t>79 618.05</t>
  </si>
  <si>
    <t>311.38505</t>
  </si>
  <si>
    <t>311 973.14</t>
  </si>
  <si>
    <t>78 994.53</t>
  </si>
  <si>
    <t>225 151.67</t>
  </si>
  <si>
    <t>314.181</t>
  </si>
  <si>
    <t>37 346.90</t>
  </si>
  <si>
    <t>138.1381</t>
  </si>
  <si>
    <t>116 341.43</t>
  </si>
  <si>
    <t>75 621.93</t>
  </si>
  <si>
    <t>503 936.50</t>
  </si>
  <si>
    <t>158 019.54</t>
  </si>
  <si>
    <t>710.28159</t>
  </si>
  <si>
    <t>42 271.15</t>
  </si>
  <si>
    <t>173.24695</t>
  </si>
  <si>
    <t>216 438.11</t>
  </si>
  <si>
    <t>120 344.97</t>
  </si>
  <si>
    <t xml:space="preserve">БЛОК 3
Плановая стоимость объекта в прогнозных ценах 2020 года  относительно уровня 4 квартала 2017 года </t>
  </si>
  <si>
    <t>Утвержденная сметная стоимость  строительства объекта  (в ценах 3 квартала 2019)</t>
  </si>
  <si>
    <t>Приказом Производственного отделения "Южные электрические сети" филиала ПАО "МРСК Северо-Запада" в Республике Коми</t>
  </si>
  <si>
    <t>2019 год</t>
  </si>
  <si>
    <t>ФОТ</t>
  </si>
  <si>
    <t>в ценах 4 кв.2017</t>
  </si>
  <si>
    <t>Лот на материалы и оборудование</t>
  </si>
  <si>
    <t>Лот (СМР)</t>
  </si>
  <si>
    <t>2БКТП 10 кВ (торгуем отдельно)</t>
  </si>
  <si>
    <t>СИП-3 (хоз. способ декабрь 2019)</t>
  </si>
  <si>
    <t>Пусконаладочные работы</t>
  </si>
  <si>
    <t>2 КТП</t>
  </si>
  <si>
    <t>ГСН 81-05-01-2001 п. 2.7</t>
  </si>
  <si>
    <t>ГСН 81-05-01-2001
п.2.7</t>
  </si>
  <si>
    <t>ГСН 81-05-02-2007
п.2.6</t>
  </si>
  <si>
    <t>ГСН 81-05-02-2007 
п.2.6.</t>
  </si>
  <si>
    <t xml:space="preserve">
______________________________ /В.Ю.Размыслов/</t>
  </si>
  <si>
    <t xml:space="preserve">Возмещение дополнительных затрат при производстве строительно-монтажных работ в зимнее время, %=3,19 </t>
  </si>
  <si>
    <t xml:space="preserve">2КТП 10 кВ </t>
  </si>
  <si>
    <t xml:space="preserve">КЛ 0,4 кВ </t>
  </si>
  <si>
    <t>Дополнительные затраты при производстве строительно монтажных работ в зимнее время (3,19%)</t>
  </si>
  <si>
    <t>220 260.38</t>
  </si>
  <si>
    <t>125 467.98</t>
  </si>
  <si>
    <t>412 900.27</t>
  </si>
  <si>
    <t>82 580.05</t>
  </si>
  <si>
    <t>495 480.32</t>
  </si>
  <si>
    <t>13 654.41</t>
  </si>
  <si>
    <t>148 721.38</t>
  </si>
  <si>
    <t>144 864.08</t>
  </si>
  <si>
    <t>175 679.78</t>
  </si>
  <si>
    <t>53 184.16</t>
  </si>
  <si>
    <t>35 135.96</t>
  </si>
  <si>
    <t>210 815.74</t>
  </si>
  <si>
    <t>533 172.20</t>
  </si>
  <si>
    <t>Раздел 6.  Строительство 2БКТП</t>
  </si>
  <si>
    <t>Раздел 7.  Материалы 2БКТП</t>
  </si>
  <si>
    <t>1 423 000.00</t>
  </si>
  <si>
    <t>1 476 440.96</t>
  </si>
  <si>
    <t>295 288.19</t>
  </si>
  <si>
    <t>1 771 729.15</t>
  </si>
  <si>
    <t>465 208.10</t>
  </si>
  <si>
    <t>3 421 751.57</t>
  </si>
  <si>
    <t>240 056.43</t>
  </si>
  <si>
    <t>3 758 534.65</t>
  </si>
  <si>
    <t>4 282 925.75</t>
  </si>
  <si>
    <t>3 031 502.58</t>
  </si>
  <si>
    <t>в базе</t>
  </si>
  <si>
    <t>Индексы на 4 квартал 2019 года для КЛ
Письмо Минстроя РФ от 09.12.2019 №46999-ДВ/09</t>
  </si>
  <si>
    <t>Стоимость строительства в ценах 4 квартала 2019 года</t>
  </si>
  <si>
    <t>Индексы на 4 квартал 2019 года для Оборудования
Письмо Минстроя РФ от 09.12.2019 №46999-ДВ/09</t>
  </si>
  <si>
    <t>Кабель для  КЛ 4х150 (торгуем отдельно)</t>
  </si>
  <si>
    <t>009-55-2-03.31-1897 Строительство КТП 10/0,4 кВ, ВЛ 10 кВ от оп. 26 яч.3Д ПС «Помоздино», ВЛ 10 кВ от оп.29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- 0,976 км, КТП 10/0,4 кВ - 1,26 МВА, КЛ 0,4 кВ - 0,82 км)</t>
  </si>
  <si>
    <t>Сметный расчет 009-55-2-03.31-1897 «Строительство КТП 10/0,4 кВ, ВЛ 10 кВ от оп. 26 яч.3Д ПС «Помоздино», ВЛ 10 кВ от оп.29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- 0,976 км, КТП 10/0,4 кВ - 1,26 МВА, КЛ 0,4 кВ - 0,82 км)»</t>
  </si>
  <si>
    <t>4 275.479</t>
  </si>
  <si>
    <t>1.355</t>
  </si>
  <si>
    <t>322.886</t>
  </si>
  <si>
    <t>384 958.68</t>
  </si>
  <si>
    <t>117 964.79</t>
  </si>
  <si>
    <t>510.91092</t>
  </si>
  <si>
    <t>632 377.66</t>
  </si>
  <si>
    <t>152 294.53</t>
  </si>
  <si>
    <t>95 124.45</t>
  </si>
  <si>
    <t>126 475.53</t>
  </si>
  <si>
    <t>758 853.19</t>
  </si>
  <si>
    <t>.   НАКЛАДНЫЕ РАСХОДЫ - (%=100 - по стр. 88)</t>
  </si>
  <si>
    <t>.   СМЕТНАЯ ПРИБЫЛЬ - (%=65 - по стр. 88)</t>
  </si>
  <si>
    <t>.   НАКЛАДНЫЕ РАСХОДЫ - (%=100 - по стр. 81, 83, 84; %=84 - по стр. 82, 86; %=128 - по стр. 85; %=110 - по стр. 87)</t>
  </si>
  <si>
    <t>.   СМЕТНАЯ ПРИБЫЛЬ - (%=50 - по стр. 81; %=45 - по стр. 82, 86; %=60 - по стр. 83, 84; %=80 - по стр. 85; %=65 - по стр. 87)</t>
  </si>
  <si>
    <t>.   НАКЛАДНЫЕ РАСХОДЫ - (%=68 - по стр. 89-92)</t>
  </si>
  <si>
    <t>.   СМЕТНАЯ ПРИБЫЛЬ - (%=40 - по стр. 89-92)</t>
  </si>
  <si>
    <t>13 007.78</t>
  </si>
  <si>
    <t>3 739 978.45</t>
  </si>
  <si>
    <t>243 267.81</t>
  </si>
  <si>
    <t>1043.2226</t>
  </si>
  <si>
    <t>.   НАКЛАДНЫЕ РАСХОДЫ - (%=100 - по стр. 64, 68-70, 72, 88)</t>
  </si>
  <si>
    <t>.   СМЕТНАЯ ПРИБЫЛЬ - (%=65 - по стр. 64, 68-70, 72, 88)</t>
  </si>
  <si>
    <t>.   НАКЛАДНЫЕ РАСХОДЫ - (%=113 - по стр. 1, 2, 8-17; %=100 - по стр. 3-6, 60, 61, 81, 83, 84; %=105 - по стр. 62; %=137 - по стр. 63, 71; %=84 - по стр. 67, 73, 82, 86; %=128 - по стр. 85; %=110 - по стр. 87)</t>
  </si>
  <si>
    <t>.   СМЕТНАЯ ПРИБЫЛЬ - (%=60 - по стр. 1-6, 8-17, 83, 84; %=50 - по стр. 60, 61, 81; %=65 - по стр. 62, 87; %=89 - по стр. 63, 71; %=45 - по стр. 67, 73, 82, 86; %=80 - по стр. 85)</t>
  </si>
  <si>
    <t>4 275 478.93</t>
  </si>
  <si>
    <t>337 032.08</t>
  </si>
  <si>
    <t>198 468.40</t>
  </si>
  <si>
    <t>855 095.79</t>
  </si>
  <si>
    <t>5 130 574.72</t>
  </si>
  <si>
    <t>Сводный сметный расчет в сумме 5 220,034 тыс. руб. без НДС                           Утвержден____________________Э.А.Денерт</t>
  </si>
  <si>
    <t>Сводный сметный расчет в сумме 1 006,257 тыс. руб. без НДС                           Утвержден____________________Э.А.Денерт</t>
  </si>
  <si>
    <t>Строительная зона №1</t>
  </si>
  <si>
    <t>на 009-55-2-03.31-1897  Строительство КТП 10/0,4 кВ, ВЛ 10 кВ от оп. 26 яч.3Д ПС «Помоздино», ВЛ 10 кВ от оп.29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- 0,976 км, КТП 10/0,4 кВ - 1,26 МВА, КЛ 0,4 кВ - 0,82 км)</t>
  </si>
  <si>
    <t xml:space="preserve">«____» _______________ 2020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</si>
</sst>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_р_."/>
    <numFmt numFmtId="169" formatCode="#,##0.00000"/>
    <numFmt numFmtId="170" formatCode="#,##0.00_р_."/>
    <numFmt numFmtId="171" formatCode="#,##0.000000"/>
    <numFmt numFmtId="172" formatCode="0.00000"/>
    <numFmt numFmtId="173" formatCode="0.0000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sz val="1"/>
      <color theme="1"/>
      <name val="Verdana"/>
      <family val="2"/>
      <charset val="204"/>
    </font>
    <font>
      <b/>
      <u/>
      <sz val="8"/>
      <color theme="1"/>
      <name val="Verdana"/>
      <family val="2"/>
      <charset val="204"/>
    </font>
    <font>
      <u/>
      <sz val="8"/>
      <color theme="1"/>
      <name val="Verdana"/>
      <family val="2"/>
      <charset val="204"/>
    </font>
    <font>
      <i/>
      <sz val="8"/>
      <color theme="1"/>
      <name val="Verdana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4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</cellStyleXfs>
  <cellXfs count="546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3" xfId="3" applyFont="1" applyBorder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6" fillId="0" borderId="3" xfId="24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49" fontId="26" fillId="0" borderId="3" xfId="21" applyNumberFormat="1" applyFont="1" applyFill="1" applyBorder="1" applyAlignment="1">
      <alignment horizontal="left" vertical="center" wrapText="1"/>
    </xf>
    <xf numFmtId="0" fontId="26" fillId="0" borderId="3" xfId="27" applyFont="1" applyFill="1" applyBorder="1" applyAlignment="1">
      <alignment horizontal="left" vertical="top" wrapText="1"/>
    </xf>
    <xf numFmtId="165" fontId="26" fillId="0" borderId="3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165" fontId="25" fillId="0" borderId="3" xfId="29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6" fillId="0" borderId="9" xfId="29" applyNumberFormat="1" applyFont="1" applyFill="1" applyBorder="1" applyAlignment="1">
      <alignment horizontal="right" vertical="top" wrapText="1"/>
    </xf>
    <xf numFmtId="165" fontId="26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6" fillId="0" borderId="10" xfId="29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0" borderId="9" xfId="24" applyNumberFormat="1" applyFont="1" applyBorder="1" applyAlignment="1">
      <alignment horizontal="center" vertical="center" wrapText="1"/>
    </xf>
    <xf numFmtId="165" fontId="26" fillId="0" borderId="11" xfId="29" applyNumberFormat="1" applyFont="1" applyFill="1" applyBorder="1" applyAlignment="1">
      <alignment horizontal="right" vertical="top" wrapText="1"/>
    </xf>
    <xf numFmtId="165" fontId="26" fillId="0" borderId="12" xfId="29" applyNumberFormat="1" applyFont="1" applyFill="1" applyBorder="1" applyAlignment="1">
      <alignment horizontal="right" vertical="top"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165" fontId="26" fillId="2" borderId="9" xfId="29" applyNumberFormat="1" applyFont="1" applyFill="1" applyBorder="1" applyAlignment="1">
      <alignment horizontal="right" vertical="top" wrapText="1"/>
    </xf>
    <xf numFmtId="165" fontId="26" fillId="2" borderId="3" xfId="29" applyNumberFormat="1" applyFont="1" applyFill="1" applyBorder="1" applyAlignment="1">
      <alignment horizontal="right" vertical="top" wrapText="1"/>
    </xf>
    <xf numFmtId="165" fontId="26" fillId="2" borderId="10" xfId="29" applyNumberFormat="1" applyFont="1" applyFill="1" applyBorder="1" applyAlignment="1">
      <alignment horizontal="right" vertical="top" wrapText="1"/>
    </xf>
    <xf numFmtId="165" fontId="26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right" vertical="top" wrapText="1"/>
    </xf>
    <xf numFmtId="165" fontId="25" fillId="0" borderId="10" xfId="30" applyNumberFormat="1" applyFont="1" applyFill="1" applyBorder="1" applyAlignment="1">
      <alignment horizontal="right" vertical="top" wrapText="1"/>
    </xf>
    <xf numFmtId="165" fontId="25" fillId="0" borderId="3" xfId="29" applyNumberFormat="1" applyFont="1" applyFill="1" applyBorder="1" applyAlignment="1">
      <alignment horizontal="right" vertical="top" wrapText="1"/>
    </xf>
    <xf numFmtId="165" fontId="26" fillId="2" borderId="14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9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71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0" fontId="27" fillId="0" borderId="3" xfId="8" applyFont="1" applyBorder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right" vertical="top" wrapText="1"/>
    </xf>
    <xf numFmtId="0" fontId="23" fillId="0" borderId="0" xfId="9" applyFont="1" applyBorder="1" applyAlignment="1">
      <alignment vertical="center" wrapText="1"/>
    </xf>
    <xf numFmtId="164" fontId="25" fillId="0" borderId="3" xfId="30" applyNumberFormat="1" applyFont="1" applyFill="1" applyBorder="1" applyAlignment="1">
      <alignment horizontal="right" vertical="top" wrapText="1"/>
    </xf>
    <xf numFmtId="165" fontId="26" fillId="0" borderId="14" xfId="23" applyNumberFormat="1" applyFont="1" applyFill="1" applyBorder="1" applyAlignment="1">
      <alignment vertical="center" wrapText="1"/>
    </xf>
    <xf numFmtId="165" fontId="26" fillId="0" borderId="3" xfId="23" applyNumberFormat="1" applyFont="1" applyFill="1" applyBorder="1" applyAlignment="1">
      <alignment vertical="center" wrapText="1"/>
    </xf>
    <xf numFmtId="165" fontId="26" fillId="0" borderId="3" xfId="29" applyNumberFormat="1" applyFont="1" applyFill="1" applyBorder="1" applyAlignment="1">
      <alignment vertical="top" wrapText="1"/>
    </xf>
    <xf numFmtId="165" fontId="25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26" fillId="0" borderId="10" xfId="28" applyFont="1" applyFill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165" fontId="26" fillId="0" borderId="5" xfId="29" applyNumberFormat="1" applyFont="1" applyFill="1" applyBorder="1" applyAlignment="1">
      <alignment vertical="top" wrapText="1"/>
    </xf>
    <xf numFmtId="165" fontId="25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5" fontId="26" fillId="2" borderId="16" xfId="29" applyNumberFormat="1" applyFont="1" applyFill="1" applyBorder="1" applyAlignment="1">
      <alignment horizontal="right" vertical="top" wrapText="1"/>
    </xf>
    <xf numFmtId="0" fontId="38" fillId="6" borderId="3" xfId="3" applyFont="1" applyFill="1" applyBorder="1" applyAlignment="1">
      <alignment horizontal="center" vertical="center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6" fillId="2" borderId="10" xfId="29" applyNumberFormat="1" applyFont="1" applyFill="1" applyBorder="1" applyAlignment="1">
      <alignment horizontal="right" vertical="top" wrapText="1"/>
    </xf>
    <xf numFmtId="164" fontId="15" fillId="0" borderId="31" xfId="25" quotePrefix="1" applyNumberFormat="1" applyBorder="1" applyAlignment="1">
      <alignment horizontal="left" vertical="top" wrapText="1"/>
    </xf>
    <xf numFmtId="164" fontId="15" fillId="0" borderId="16" xfId="25" quotePrefix="1" applyNumberFormat="1" applyBorder="1" applyAlignment="1">
      <alignment horizontal="left" vertical="top" wrapText="1"/>
    </xf>
    <xf numFmtId="164" fontId="15" fillId="0" borderId="32" xfId="25" quotePrefix="1" applyNumberFormat="1" applyBorder="1" applyAlignment="1">
      <alignment horizontal="left" vertical="top" wrapText="1"/>
    </xf>
    <xf numFmtId="170" fontId="26" fillId="0" borderId="3" xfId="23" applyNumberFormat="1" applyFont="1" applyFill="1" applyBorder="1" applyAlignment="1">
      <alignment horizontal="right" vertical="center" wrapText="1"/>
    </xf>
    <xf numFmtId="170" fontId="26" fillId="0" borderId="10" xfId="24" applyNumberFormat="1" applyFont="1" applyFill="1" applyBorder="1" applyAlignment="1">
      <alignment horizontal="right" vertical="center" wrapText="1"/>
    </xf>
    <xf numFmtId="168" fontId="26" fillId="0" borderId="9" xfId="23" applyNumberFormat="1" applyFont="1" applyFill="1" applyBorder="1" applyAlignment="1">
      <alignment horizontal="right" vertical="center" wrapText="1"/>
    </xf>
    <xf numFmtId="168" fontId="26" fillId="0" borderId="3" xfId="23" applyNumberFormat="1" applyFont="1" applyFill="1" applyBorder="1" applyAlignment="1">
      <alignment horizontal="right" vertical="center" wrapText="1"/>
    </xf>
    <xf numFmtId="168" fontId="26" fillId="0" borderId="10" xfId="24" applyNumberFormat="1" applyFont="1" applyFill="1" applyBorder="1" applyAlignment="1">
      <alignment horizontal="right" vertical="center" wrapText="1"/>
    </xf>
    <xf numFmtId="168" fontId="26" fillId="0" borderId="14" xfId="24" applyNumberFormat="1" applyFont="1" applyFill="1" applyBorder="1" applyAlignment="1">
      <alignment horizontal="right" vertical="center" wrapText="1"/>
    </xf>
    <xf numFmtId="168" fontId="26" fillId="0" borderId="3" xfId="24" applyNumberFormat="1" applyFont="1" applyFill="1" applyBorder="1" applyAlignment="1">
      <alignment horizontal="right" vertical="center" wrapText="1"/>
    </xf>
    <xf numFmtId="168" fontId="25" fillId="0" borderId="3" xfId="3" applyNumberFormat="1" applyFont="1" applyFill="1" applyBorder="1" applyAlignment="1">
      <alignment horizontal="right" vertical="center" wrapText="1"/>
    </xf>
    <xf numFmtId="164" fontId="25" fillId="0" borderId="10" xfId="3" applyNumberFormat="1" applyFont="1" applyFill="1" applyBorder="1" applyAlignment="1">
      <alignment horizontal="right" vertical="center" wrapText="1"/>
    </xf>
    <xf numFmtId="168" fontId="26" fillId="0" borderId="14" xfId="23" applyNumberFormat="1" applyFont="1" applyFill="1" applyBorder="1" applyAlignment="1">
      <alignment horizontal="right" vertical="center" wrapText="1"/>
    </xf>
    <xf numFmtId="164" fontId="26" fillId="0" borderId="10" xfId="24" applyNumberFormat="1" applyFont="1" applyFill="1" applyBorder="1" applyAlignment="1">
      <alignment horizontal="right" vertical="center" wrapText="1"/>
    </xf>
    <xf numFmtId="165" fontId="26" fillId="0" borderId="10" xfId="23" applyNumberFormat="1" applyFont="1" applyFill="1" applyBorder="1" applyAlignment="1">
      <alignment vertical="center" wrapText="1"/>
    </xf>
    <xf numFmtId="165" fontId="11" fillId="0" borderId="10" xfId="30" applyNumberFormat="1" applyFont="1" applyFill="1" applyBorder="1" applyAlignment="1">
      <alignment vertical="top" wrapText="1"/>
    </xf>
    <xf numFmtId="165" fontId="11" fillId="0" borderId="10" xfId="25" quotePrefix="1" applyNumberFormat="1" applyFont="1" applyFill="1" applyBorder="1" applyAlignment="1">
      <alignment vertical="top" wrapText="1"/>
    </xf>
    <xf numFmtId="165" fontId="26" fillId="0" borderId="10" xfId="30" applyNumberFormat="1" applyFont="1" applyFill="1" applyBorder="1" applyAlignment="1">
      <alignment vertical="top" wrapText="1"/>
    </xf>
    <xf numFmtId="165" fontId="11" fillId="0" borderId="10" xfId="25" quotePrefix="1" applyNumberFormat="1" applyFont="1" applyFill="1" applyBorder="1" applyAlignment="1">
      <alignment horizontal="right" vertical="top" wrapText="1"/>
    </xf>
    <xf numFmtId="0" fontId="14" fillId="0" borderId="9" xfId="31" applyNumberFormat="1" applyFont="1" applyBorder="1" applyAlignment="1">
      <alignment horizontal="center" vertical="top" wrapText="1"/>
    </xf>
    <xf numFmtId="0" fontId="14" fillId="0" borderId="9" xfId="31" applyNumberFormat="1" applyFont="1" applyBorder="1" applyAlignment="1">
      <alignment horizontal="center" vertical="center" wrapText="1"/>
    </xf>
    <xf numFmtId="0" fontId="26" fillId="2" borderId="4" xfId="33" applyFont="1" applyFill="1" applyBorder="1" applyAlignment="1">
      <alignment horizontal="left" vertical="top" wrapText="1"/>
    </xf>
    <xf numFmtId="165" fontId="11" fillId="2" borderId="14" xfId="29" applyNumberFormat="1" applyFont="1" applyFill="1" applyBorder="1" applyAlignment="1">
      <alignment horizontal="right" vertical="top" wrapText="1"/>
    </xf>
    <xf numFmtId="165" fontId="11" fillId="2" borderId="3" xfId="29" applyNumberFormat="1" applyFont="1" applyFill="1" applyBorder="1" applyAlignment="1">
      <alignment horizontal="right" vertical="top" wrapText="1"/>
    </xf>
    <xf numFmtId="165" fontId="26" fillId="0" borderId="13" xfId="29" applyNumberFormat="1" applyFont="1" applyFill="1" applyBorder="1" applyAlignment="1">
      <alignment horizontal="right" vertical="top" wrapText="1"/>
    </xf>
    <xf numFmtId="169" fontId="28" fillId="0" borderId="3" xfId="8" applyNumberFormat="1" applyFont="1" applyBorder="1" applyAlignment="1">
      <alignment horizontal="center" vertical="center" wrapText="1"/>
    </xf>
    <xf numFmtId="169" fontId="16" fillId="0" borderId="3" xfId="8" applyNumberFormat="1" applyFont="1" applyBorder="1" applyAlignment="1">
      <alignment horizontal="center" vertical="center" wrapText="1"/>
    </xf>
    <xf numFmtId="0" fontId="37" fillId="0" borderId="0" xfId="43" applyFont="1" applyAlignment="1" applyProtection="1">
      <alignment wrapText="1"/>
      <protection locked="0"/>
    </xf>
    <xf numFmtId="165" fontId="11" fillId="0" borderId="32" xfId="30" applyNumberFormat="1" applyFont="1" applyFill="1" applyBorder="1" applyAlignment="1">
      <alignment horizontal="right" vertical="top" wrapText="1"/>
    </xf>
    <xf numFmtId="165" fontId="26" fillId="0" borderId="34" xfId="29" applyNumberFormat="1" applyFont="1" applyFill="1" applyBorder="1" applyAlignment="1">
      <alignment vertical="top" wrapText="1"/>
    </xf>
    <xf numFmtId="165" fontId="25" fillId="0" borderId="5" xfId="30" applyNumberFormat="1" applyFont="1" applyFill="1" applyBorder="1" applyAlignment="1">
      <alignment horizontal="right" vertical="top" wrapText="1"/>
    </xf>
    <xf numFmtId="165" fontId="26" fillId="0" borderId="37" xfId="29" applyNumberFormat="1" applyFont="1" applyFill="1" applyBorder="1" applyAlignment="1">
      <alignment horizontal="right" vertical="top" wrapText="1"/>
    </xf>
    <xf numFmtId="0" fontId="41" fillId="0" borderId="0" xfId="0" applyFont="1" applyAlignment="1">
      <alignment vertical="center"/>
    </xf>
    <xf numFmtId="0" fontId="39" fillId="0" borderId="40" xfId="0" applyFont="1" applyBorder="1" applyAlignment="1">
      <alignment horizontal="center" vertical="center" wrapText="1"/>
    </xf>
    <xf numFmtId="0" fontId="39" fillId="0" borderId="41" xfId="0" applyFont="1" applyBorder="1" applyAlignment="1">
      <alignment horizontal="center" vertical="center" wrapText="1"/>
    </xf>
    <xf numFmtId="0" fontId="39" fillId="0" borderId="42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39" fillId="0" borderId="35" xfId="0" applyFont="1" applyBorder="1" applyAlignment="1">
      <alignment horizontal="center" vertical="center" wrapText="1"/>
    </xf>
    <xf numFmtId="0" fontId="8" fillId="0" borderId="0" xfId="8" applyFont="1" applyAlignment="1"/>
    <xf numFmtId="0" fontId="7" fillId="0" borderId="0" xfId="8" applyFont="1" applyAlignment="1">
      <alignment horizontal="left"/>
    </xf>
    <xf numFmtId="49" fontId="47" fillId="0" borderId="0" xfId="0" applyNumberFormat="1" applyFont="1" applyBorder="1" applyAlignment="1">
      <alignment horizontal="center" vertical="center"/>
    </xf>
    <xf numFmtId="165" fontId="0" fillId="0" borderId="0" xfId="0" applyNumberFormat="1"/>
    <xf numFmtId="3" fontId="11" fillId="0" borderId="0" xfId="0" applyNumberFormat="1" applyFont="1"/>
    <xf numFmtId="4" fontId="0" fillId="0" borderId="0" xfId="0" applyNumberFormat="1"/>
    <xf numFmtId="164" fontId="0" fillId="0" borderId="0" xfId="0" applyNumberFormat="1"/>
    <xf numFmtId="0" fontId="47" fillId="0" borderId="0" xfId="0" applyFont="1"/>
    <xf numFmtId="0" fontId="4" fillId="0" borderId="0" xfId="0" applyFont="1"/>
    <xf numFmtId="49" fontId="47" fillId="0" borderId="0" xfId="0" applyNumberFormat="1" applyFont="1"/>
    <xf numFmtId="165" fontId="11" fillId="0" borderId="5" xfId="29" applyNumberFormat="1" applyFont="1" applyFill="1" applyBorder="1" applyAlignment="1">
      <alignment horizontal="right" vertical="top" wrapText="1"/>
    </xf>
    <xf numFmtId="0" fontId="0" fillId="2" borderId="0" xfId="0" applyFill="1"/>
    <xf numFmtId="49" fontId="46" fillId="0" borderId="0" xfId="0" applyNumberFormat="1" applyFont="1" applyBorder="1" applyAlignment="1">
      <alignment horizontal="left" vertical="center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49" fontId="46" fillId="0" borderId="0" xfId="0" applyNumberFormat="1" applyFont="1" applyAlignment="1">
      <alignment horizontal="left" vertical="center"/>
    </xf>
    <xf numFmtId="0" fontId="26" fillId="0" borderId="3" xfId="3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0" fontId="45" fillId="0" borderId="0" xfId="0" applyFont="1" applyBorder="1"/>
    <xf numFmtId="0" fontId="0" fillId="0" borderId="0" xfId="0" applyFont="1" applyBorder="1"/>
    <xf numFmtId="165" fontId="46" fillId="0" borderId="0" xfId="0" applyNumberFormat="1" applyFont="1" applyBorder="1" applyAlignment="1">
      <alignment horizontal="right" vertical="center"/>
    </xf>
    <xf numFmtId="0" fontId="0" fillId="0" borderId="0" xfId="0" applyBorder="1"/>
    <xf numFmtId="0" fontId="47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vertical="center"/>
    </xf>
    <xf numFmtId="0" fontId="47" fillId="0" borderId="0" xfId="0" applyFont="1" applyBorder="1"/>
    <xf numFmtId="164" fontId="47" fillId="0" borderId="0" xfId="0" applyNumberFormat="1" applyFont="1"/>
    <xf numFmtId="0" fontId="4" fillId="0" borderId="3" xfId="3" applyBorder="1" applyAlignment="1">
      <alignment wrapText="1"/>
    </xf>
    <xf numFmtId="164" fontId="1" fillId="0" borderId="3" xfId="8" applyNumberFormat="1" applyFont="1" applyBorder="1"/>
    <xf numFmtId="172" fontId="25" fillId="0" borderId="9" xfId="30" applyNumberFormat="1" applyFont="1" applyFill="1" applyBorder="1" applyAlignment="1">
      <alignment horizontal="right" vertical="top" wrapText="1"/>
    </xf>
    <xf numFmtId="172" fontId="25" fillId="0" borderId="3" xfId="30" applyNumberFormat="1" applyFont="1" applyFill="1" applyBorder="1" applyAlignment="1">
      <alignment horizontal="right" vertical="top" wrapText="1"/>
    </xf>
    <xf numFmtId="172" fontId="25" fillId="0" borderId="10" xfId="30" applyNumberFormat="1" applyFont="1" applyBorder="1" applyAlignment="1">
      <alignment horizontal="right" vertical="top" wrapText="1"/>
    </xf>
    <xf numFmtId="172" fontId="11" fillId="0" borderId="14" xfId="25" quotePrefix="1" applyNumberFormat="1" applyFont="1" applyBorder="1" applyAlignment="1">
      <alignment horizontal="left" vertical="top" wrapText="1"/>
    </xf>
    <xf numFmtId="172" fontId="11" fillId="0" borderId="3" xfId="25" quotePrefix="1" applyNumberFormat="1" applyFont="1" applyBorder="1" applyAlignment="1">
      <alignment horizontal="left" vertical="top" wrapText="1"/>
    </xf>
    <xf numFmtId="172" fontId="11" fillId="0" borderId="10" xfId="25" quotePrefix="1" applyNumberFormat="1" applyFont="1" applyBorder="1" applyAlignment="1">
      <alignment horizontal="left" vertical="top" wrapText="1"/>
    </xf>
    <xf numFmtId="172" fontId="25" fillId="0" borderId="14" xfId="30" applyNumberFormat="1" applyFont="1" applyFill="1" applyBorder="1" applyAlignment="1">
      <alignment horizontal="right" vertical="top" wrapText="1"/>
    </xf>
    <xf numFmtId="172" fontId="25" fillId="2" borderId="3" xfId="30" applyNumberFormat="1" applyFont="1" applyFill="1" applyBorder="1" applyAlignment="1">
      <alignment horizontal="right" vertical="top" wrapText="1"/>
    </xf>
    <xf numFmtId="172" fontId="25" fillId="0" borderId="5" xfId="30" applyNumberFormat="1" applyFont="1" applyFill="1" applyBorder="1" applyAlignment="1">
      <alignment horizontal="right" vertical="top" wrapText="1"/>
    </xf>
    <xf numFmtId="172" fontId="25" fillId="2" borderId="14" xfId="30" applyNumberFormat="1" applyFont="1" applyFill="1" applyBorder="1" applyAlignment="1">
      <alignment horizontal="right" vertical="top" wrapText="1"/>
    </xf>
    <xf numFmtId="172" fontId="25" fillId="0" borderId="14" xfId="29" applyNumberFormat="1" applyFont="1" applyBorder="1" applyAlignment="1">
      <alignment horizontal="right" vertical="top" wrapText="1"/>
    </xf>
    <xf numFmtId="172" fontId="25" fillId="0" borderId="3" xfId="29" applyNumberFormat="1" applyFont="1" applyBorder="1" applyAlignment="1">
      <alignment horizontal="right" vertical="top" wrapText="1"/>
    </xf>
    <xf numFmtId="172" fontId="25" fillId="0" borderId="34" xfId="30" applyNumberFormat="1" applyFont="1" applyBorder="1" applyAlignment="1">
      <alignment horizontal="right" vertical="top" wrapText="1"/>
    </xf>
    <xf numFmtId="172" fontId="11" fillId="0" borderId="34" xfId="25" quotePrefix="1" applyNumberFormat="1" applyFont="1" applyBorder="1" applyAlignment="1">
      <alignment horizontal="left" vertical="top" wrapText="1"/>
    </xf>
    <xf numFmtId="172" fontId="12" fillId="0" borderId="14" xfId="29" applyNumberFormat="1" applyFont="1" applyBorder="1" applyAlignment="1">
      <alignment horizontal="right" vertical="top" wrapText="1"/>
    </xf>
    <xf numFmtId="172" fontId="12" fillId="0" borderId="3" xfId="29" applyNumberFormat="1" applyFont="1" applyBorder="1" applyAlignment="1">
      <alignment horizontal="right" vertical="top" wrapText="1"/>
    </xf>
    <xf numFmtId="172" fontId="12" fillId="0" borderId="34" xfId="30" applyNumberFormat="1" applyFont="1" applyBorder="1" applyAlignment="1">
      <alignment horizontal="right" vertical="top" wrapText="1"/>
    </xf>
    <xf numFmtId="172" fontId="11" fillId="0" borderId="14" xfId="29" applyNumberFormat="1" applyFont="1" applyFill="1" applyBorder="1" applyAlignment="1">
      <alignment horizontal="right" vertical="top" wrapText="1"/>
    </xf>
    <xf numFmtId="172" fontId="11" fillId="0" borderId="3" xfId="29" applyNumberFormat="1" applyFont="1" applyFill="1" applyBorder="1" applyAlignment="1">
      <alignment horizontal="right" vertical="top" wrapText="1"/>
    </xf>
    <xf numFmtId="172" fontId="26" fillId="0" borderId="14" xfId="29" applyNumberFormat="1" applyFont="1" applyFill="1" applyBorder="1" applyAlignment="1">
      <alignment horizontal="right" vertical="top" wrapText="1"/>
    </xf>
    <xf numFmtId="172" fontId="26" fillId="0" borderId="3" xfId="29" applyNumberFormat="1" applyFont="1" applyFill="1" applyBorder="1" applyAlignment="1">
      <alignment horizontal="right" vertical="top" wrapText="1"/>
    </xf>
    <xf numFmtId="172" fontId="8" fillId="0" borderId="14" xfId="0" applyNumberFormat="1" applyFont="1" applyBorder="1"/>
    <xf numFmtId="172" fontId="8" fillId="0" borderId="3" xfId="0" applyNumberFormat="1" applyFont="1" applyBorder="1"/>
    <xf numFmtId="172" fontId="25" fillId="0" borderId="9" xfId="29" applyNumberFormat="1" applyFont="1" applyBorder="1" applyAlignment="1">
      <alignment horizontal="right" vertical="top" wrapText="1"/>
    </xf>
    <xf numFmtId="172" fontId="12" fillId="0" borderId="11" xfId="29" applyNumberFormat="1" applyFont="1" applyBorder="1" applyAlignment="1">
      <alignment horizontal="right" vertical="top" wrapText="1"/>
    </xf>
    <xf numFmtId="172" fontId="12" fillId="0" borderId="12" xfId="29" applyNumberFormat="1" applyFont="1" applyBorder="1" applyAlignment="1">
      <alignment horizontal="right" vertical="top" wrapText="1"/>
    </xf>
    <xf numFmtId="172" fontId="26" fillId="0" borderId="0" xfId="29" applyNumberFormat="1" applyFont="1" applyFill="1" applyBorder="1" applyAlignment="1">
      <alignment horizontal="right" vertical="top" wrapText="1"/>
    </xf>
    <xf numFmtId="169" fontId="11" fillId="0" borderId="14" xfId="29" applyNumberFormat="1" applyFont="1" applyFill="1" applyBorder="1" applyAlignment="1">
      <alignment vertical="top" wrapText="1"/>
    </xf>
    <xf numFmtId="169" fontId="11" fillId="0" borderId="3" xfId="29" applyNumberFormat="1" applyFont="1" applyFill="1" applyBorder="1" applyAlignment="1">
      <alignment vertical="top" wrapText="1"/>
    </xf>
    <xf numFmtId="169" fontId="11" fillId="0" borderId="10" xfId="30" applyNumberFormat="1" applyFont="1" applyFill="1" applyBorder="1" applyAlignment="1">
      <alignment vertical="top" wrapText="1"/>
    </xf>
    <xf numFmtId="169" fontId="11" fillId="0" borderId="14" xfId="25" quotePrefix="1" applyNumberFormat="1" applyFont="1" applyFill="1" applyBorder="1" applyAlignment="1">
      <alignment vertical="top" wrapText="1"/>
    </xf>
    <xf numFmtId="169" fontId="11" fillId="0" borderId="3" xfId="25" quotePrefix="1" applyNumberFormat="1" applyFont="1" applyFill="1" applyBorder="1" applyAlignment="1">
      <alignment vertical="top" wrapText="1"/>
    </xf>
    <xf numFmtId="169" fontId="11" fillId="0" borderId="10" xfId="25" quotePrefix="1" applyNumberFormat="1" applyFont="1" applyFill="1" applyBorder="1" applyAlignment="1">
      <alignment vertical="top" wrapText="1"/>
    </xf>
    <xf numFmtId="169" fontId="26" fillId="0" borderId="14" xfId="29" applyNumberFormat="1" applyFont="1" applyFill="1" applyBorder="1" applyAlignment="1">
      <alignment vertical="top" wrapText="1"/>
    </xf>
    <xf numFmtId="169" fontId="26" fillId="0" borderId="3" xfId="29" applyNumberFormat="1" applyFont="1" applyFill="1" applyBorder="1" applyAlignment="1">
      <alignment vertical="top" wrapText="1"/>
    </xf>
    <xf numFmtId="169" fontId="26" fillId="0" borderId="36" xfId="29" applyNumberFormat="1" applyFont="1" applyFill="1" applyBorder="1" applyAlignment="1">
      <alignment vertical="top" wrapText="1"/>
    </xf>
    <xf numFmtId="0" fontId="19" fillId="0" borderId="4" xfId="0" applyFont="1" applyFill="1" applyBorder="1" applyAlignment="1">
      <alignment horizontal="left" vertical="top" wrapText="1"/>
    </xf>
    <xf numFmtId="169" fontId="12" fillId="0" borderId="10" xfId="30" applyNumberFormat="1" applyFont="1" applyBorder="1" applyAlignment="1">
      <alignment horizontal="right" vertical="top" wrapText="1"/>
    </xf>
    <xf numFmtId="169" fontId="25" fillId="0" borderId="10" xfId="30" applyNumberFormat="1" applyFont="1" applyBorder="1" applyAlignment="1">
      <alignment horizontal="right" vertical="top" wrapText="1"/>
    </xf>
    <xf numFmtId="169" fontId="12" fillId="0" borderId="12" xfId="29" applyNumberFormat="1" applyFont="1" applyBorder="1" applyAlignment="1">
      <alignment horizontal="right" vertical="top" wrapText="1"/>
    </xf>
    <xf numFmtId="0" fontId="48" fillId="0" borderId="0" xfId="0" applyFont="1"/>
    <xf numFmtId="49" fontId="48" fillId="0" borderId="0" xfId="0" applyNumberFormat="1" applyFont="1" applyAlignment="1">
      <alignment horizontal="left" vertical="center"/>
    </xf>
    <xf numFmtId="49" fontId="48" fillId="0" borderId="0" xfId="0" applyNumberFormat="1" applyFont="1" applyBorder="1" applyAlignment="1">
      <alignment horizontal="left" vertical="center"/>
    </xf>
    <xf numFmtId="0" fontId="50" fillId="0" borderId="3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/>
    </xf>
    <xf numFmtId="49" fontId="50" fillId="0" borderId="3" xfId="0" applyNumberFormat="1" applyFont="1" applyBorder="1" applyAlignment="1">
      <alignment horizontal="center"/>
    </xf>
    <xf numFmtId="0" fontId="51" fillId="0" borderId="3" xfId="0" applyFont="1" applyBorder="1" applyAlignment="1">
      <alignment horizontal="left" vertical="center" wrapText="1"/>
    </xf>
    <xf numFmtId="164" fontId="50" fillId="0" borderId="3" xfId="0" applyNumberFormat="1" applyFont="1" applyBorder="1" applyAlignment="1">
      <alignment horizontal="center"/>
    </xf>
    <xf numFmtId="49" fontId="50" fillId="0" borderId="15" xfId="0" applyNumberFormat="1" applyFont="1" applyFill="1" applyBorder="1" applyAlignment="1">
      <alignment horizontal="center" wrapText="1"/>
    </xf>
    <xf numFmtId="0" fontId="50" fillId="0" borderId="16" xfId="0" applyFont="1" applyBorder="1" applyAlignment="1">
      <alignment horizontal="left" vertical="top" wrapText="1"/>
    </xf>
    <xf numFmtId="164" fontId="50" fillId="0" borderId="3" xfId="0" applyNumberFormat="1" applyFont="1" applyFill="1" applyBorder="1" applyAlignment="1">
      <alignment horizontal="right"/>
    </xf>
    <xf numFmtId="164" fontId="50" fillId="0" borderId="3" xfId="0" applyNumberFormat="1" applyFont="1" applyBorder="1" applyAlignment="1">
      <alignment horizontal="right"/>
    </xf>
    <xf numFmtId="0" fontId="50" fillId="0" borderId="16" xfId="0" applyFont="1" applyBorder="1" applyAlignment="1">
      <alignment horizontal="left" vertical="center" wrapText="1"/>
    </xf>
    <xf numFmtId="0" fontId="50" fillId="0" borderId="3" xfId="0" applyFont="1" applyFill="1" applyBorder="1" applyAlignment="1">
      <alignment horizontal="center"/>
    </xf>
    <xf numFmtId="0" fontId="51" fillId="0" borderId="3" xfId="0" applyFont="1" applyBorder="1" applyAlignment="1">
      <alignment horizontal="center"/>
    </xf>
    <xf numFmtId="164" fontId="51" fillId="0" borderId="3" xfId="0" applyNumberFormat="1" applyFont="1" applyBorder="1" applyAlignment="1"/>
    <xf numFmtId="0" fontId="52" fillId="0" borderId="3" xfId="0" applyFont="1" applyFill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165" fontId="50" fillId="0" borderId="3" xfId="0" applyNumberFormat="1" applyFont="1" applyFill="1" applyBorder="1" applyAlignment="1">
      <alignment horizontal="right"/>
    </xf>
    <xf numFmtId="165" fontId="50" fillId="0" borderId="3" xfId="0" applyNumberFormat="1" applyFont="1" applyFill="1" applyBorder="1" applyAlignment="1">
      <alignment horizontal="right" vertical="center"/>
    </xf>
    <xf numFmtId="49" fontId="53" fillId="0" borderId="3" xfId="0" applyNumberFormat="1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left" vertical="center" wrapText="1"/>
    </xf>
    <xf numFmtId="0" fontId="52" fillId="0" borderId="3" xfId="0" applyFont="1" applyFill="1" applyBorder="1" applyAlignment="1">
      <alignment horizontal="center"/>
    </xf>
    <xf numFmtId="0" fontId="51" fillId="0" borderId="3" xfId="0" applyFont="1" applyFill="1" applyBorder="1" applyAlignment="1">
      <alignment horizontal="center"/>
    </xf>
    <xf numFmtId="0" fontId="51" fillId="0" borderId="3" xfId="0" applyFont="1" applyFill="1" applyBorder="1" applyAlignment="1">
      <alignment horizontal="left" vertical="center" wrapText="1"/>
    </xf>
    <xf numFmtId="165" fontId="51" fillId="0" borderId="3" xfId="0" applyNumberFormat="1" applyFont="1" applyFill="1" applyBorder="1" applyAlignment="1"/>
    <xf numFmtId="0" fontId="50" fillId="0" borderId="3" xfId="0" applyFont="1" applyFill="1" applyBorder="1" applyAlignment="1">
      <alignment horizontal="left" vertical="center" wrapText="1"/>
    </xf>
    <xf numFmtId="0" fontId="50" fillId="0" borderId="16" xfId="0" applyFont="1" applyFill="1" applyBorder="1" applyAlignment="1">
      <alignment horizontal="right" vertical="center" wrapText="1"/>
    </xf>
    <xf numFmtId="165" fontId="0" fillId="0" borderId="3" xfId="0" applyNumberFormat="1" applyFont="1" applyFill="1" applyBorder="1" applyAlignment="1">
      <alignment horizontal="right"/>
    </xf>
    <xf numFmtId="0" fontId="52" fillId="0" borderId="3" xfId="0" applyFont="1" applyBorder="1" applyAlignment="1">
      <alignment horizontal="center" vertical="center" wrapText="1"/>
    </xf>
    <xf numFmtId="165" fontId="53" fillId="0" borderId="2" xfId="0" applyNumberFormat="1" applyFont="1" applyFill="1" applyBorder="1" applyAlignment="1">
      <alignment horizontal="right" vertical="center"/>
    </xf>
    <xf numFmtId="0" fontId="0" fillId="0" borderId="3" xfId="0" applyFont="1" applyBorder="1"/>
    <xf numFmtId="0" fontId="50" fillId="0" borderId="3" xfId="0" applyFont="1" applyFill="1" applyBorder="1" applyAlignment="1">
      <alignment horizontal="left" vertical="top" wrapText="1"/>
    </xf>
    <xf numFmtId="0" fontId="50" fillId="0" borderId="16" xfId="0" applyFont="1" applyFill="1" applyBorder="1" applyAlignment="1">
      <alignment horizontal="left" vertical="top" wrapText="1"/>
    </xf>
    <xf numFmtId="49" fontId="53" fillId="0" borderId="4" xfId="0" applyNumberFormat="1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vertical="center" wrapText="1"/>
    </xf>
    <xf numFmtId="165" fontId="50" fillId="0" borderId="15" xfId="0" applyNumberFormat="1" applyFont="1" applyFill="1" applyBorder="1" applyAlignment="1">
      <alignment vertical="center"/>
    </xf>
    <xf numFmtId="0" fontId="50" fillId="0" borderId="3" xfId="0" applyFont="1" applyFill="1" applyBorder="1" applyAlignment="1">
      <alignment horizontal="right" vertical="center" wrapText="1"/>
    </xf>
    <xf numFmtId="0" fontId="53" fillId="0" borderId="3" xfId="0" applyNumberFormat="1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vertical="center" wrapText="1"/>
    </xf>
    <xf numFmtId="49" fontId="50" fillId="0" borderId="3" xfId="0" applyNumberFormat="1" applyFont="1" applyFill="1" applyBorder="1" applyAlignment="1">
      <alignment horizontal="center" wrapText="1"/>
    </xf>
    <xf numFmtId="165" fontId="51" fillId="0" borderId="3" xfId="0" applyNumberFormat="1" applyFont="1" applyFill="1" applyBorder="1" applyAlignment="1">
      <alignment horizontal="right"/>
    </xf>
    <xf numFmtId="49" fontId="50" fillId="0" borderId="15" xfId="0" applyNumberFormat="1" applyFont="1" applyFill="1" applyBorder="1" applyAlignment="1">
      <alignment horizontal="left" wrapText="1"/>
    </xf>
    <xf numFmtId="164" fontId="53" fillId="0" borderId="2" xfId="0" applyNumberFormat="1" applyFont="1" applyFill="1" applyBorder="1" applyAlignment="1">
      <alignment horizontal="right" vertical="center"/>
    </xf>
    <xf numFmtId="0" fontId="51" fillId="0" borderId="3" xfId="0" applyFont="1" applyBorder="1" applyAlignment="1"/>
    <xf numFmtId="0" fontId="52" fillId="0" borderId="16" xfId="0" applyFont="1" applyBorder="1" applyAlignment="1">
      <alignment horizontal="left" vertical="center" wrapText="1"/>
    </xf>
    <xf numFmtId="165" fontId="52" fillId="0" borderId="3" xfId="0" applyNumberFormat="1" applyFont="1" applyFill="1" applyBorder="1" applyAlignment="1">
      <alignment horizontal="right"/>
    </xf>
    <xf numFmtId="165" fontId="52" fillId="0" borderId="3" xfId="0" applyNumberFormat="1" applyFont="1" applyFill="1" applyBorder="1" applyAlignment="1">
      <alignment horizontal="right" vertical="center"/>
    </xf>
    <xf numFmtId="49" fontId="52" fillId="0" borderId="3" xfId="0" applyNumberFormat="1" applyFont="1" applyFill="1" applyBorder="1" applyAlignment="1">
      <alignment horizontal="center" vertical="center"/>
    </xf>
    <xf numFmtId="0" fontId="52" fillId="0" borderId="16" xfId="0" applyFont="1" applyFill="1" applyBorder="1" applyAlignment="1">
      <alignment horizontal="left" vertical="center" wrapText="1"/>
    </xf>
    <xf numFmtId="0" fontId="54" fillId="0" borderId="3" xfId="0" applyFont="1" applyFill="1" applyBorder="1" applyAlignment="1">
      <alignment horizontal="center"/>
    </xf>
    <xf numFmtId="0" fontId="54" fillId="0" borderId="3" xfId="0" applyFont="1" applyFill="1" applyBorder="1" applyAlignment="1">
      <alignment horizontal="left" vertical="center" wrapText="1"/>
    </xf>
    <xf numFmtId="165" fontId="54" fillId="0" borderId="3" xfId="0" applyNumberFormat="1" applyFont="1" applyFill="1" applyBorder="1" applyAlignment="1"/>
    <xf numFmtId="0" fontId="52" fillId="0" borderId="3" xfId="0" applyFont="1" applyFill="1" applyBorder="1" applyAlignment="1">
      <alignment horizontal="left" vertical="center" wrapText="1"/>
    </xf>
    <xf numFmtId="0" fontId="52" fillId="0" borderId="16" xfId="0" applyFont="1" applyFill="1" applyBorder="1" applyAlignment="1">
      <alignment horizontal="right" vertical="center" wrapText="1"/>
    </xf>
    <xf numFmtId="165" fontId="8" fillId="0" borderId="3" xfId="0" applyNumberFormat="1" applyFont="1" applyFill="1" applyBorder="1" applyAlignment="1">
      <alignment horizontal="right"/>
    </xf>
    <xf numFmtId="165" fontId="52" fillId="0" borderId="2" xfId="0" applyNumberFormat="1" applyFont="1" applyFill="1" applyBorder="1" applyAlignment="1">
      <alignment horizontal="right" vertical="center"/>
    </xf>
    <xf numFmtId="0" fontId="8" fillId="0" borderId="3" xfId="0" applyFont="1" applyBorder="1"/>
    <xf numFmtId="0" fontId="52" fillId="0" borderId="3" xfId="0" applyFont="1" applyFill="1" applyBorder="1" applyAlignment="1">
      <alignment horizontal="left" vertical="top" wrapText="1"/>
    </xf>
    <xf numFmtId="0" fontId="52" fillId="0" borderId="16" xfId="0" applyFont="1" applyFill="1" applyBorder="1" applyAlignment="1">
      <alignment horizontal="left" vertical="top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vertical="center" wrapText="1"/>
    </xf>
    <xf numFmtId="165" fontId="52" fillId="0" borderId="15" xfId="0" applyNumberFormat="1" applyFont="1" applyFill="1" applyBorder="1" applyAlignment="1">
      <alignment vertical="center"/>
    </xf>
    <xf numFmtId="0" fontId="52" fillId="0" borderId="3" xfId="0" applyFont="1" applyFill="1" applyBorder="1" applyAlignment="1">
      <alignment horizontal="right" vertical="center" wrapText="1"/>
    </xf>
    <xf numFmtId="0" fontId="52" fillId="0" borderId="3" xfId="0" applyNumberFormat="1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vertical="center" wrapText="1"/>
    </xf>
    <xf numFmtId="49" fontId="52" fillId="0" borderId="3" xfId="0" applyNumberFormat="1" applyFont="1" applyFill="1" applyBorder="1" applyAlignment="1">
      <alignment horizontal="center" wrapText="1"/>
    </xf>
    <xf numFmtId="165" fontId="54" fillId="0" borderId="3" xfId="0" applyNumberFormat="1" applyFont="1" applyFill="1" applyBorder="1" applyAlignment="1">
      <alignment horizontal="right"/>
    </xf>
    <xf numFmtId="0" fontId="43" fillId="0" borderId="0" xfId="0" applyFont="1" applyAlignment="1">
      <alignment horizontal="right" vertical="center" wrapText="1"/>
    </xf>
    <xf numFmtId="0" fontId="40" fillId="0" borderId="0" xfId="0" applyFont="1" applyAlignment="1">
      <alignment horizontal="right" vertical="center" wrapText="1"/>
    </xf>
    <xf numFmtId="4" fontId="0" fillId="2" borderId="0" xfId="0" applyNumberFormat="1" applyFill="1"/>
    <xf numFmtId="0" fontId="0" fillId="0" borderId="0" xfId="0" applyAlignment="1">
      <alignment horizontal="right"/>
    </xf>
    <xf numFmtId="172" fontId="0" fillId="2" borderId="0" xfId="0" applyNumberFormat="1" applyFill="1"/>
    <xf numFmtId="0" fontId="0" fillId="2" borderId="0" xfId="0" applyFont="1" applyFill="1"/>
    <xf numFmtId="172" fontId="0" fillId="0" borderId="0" xfId="0" applyNumberFormat="1" applyAlignment="1">
      <alignment horizontal="right"/>
    </xf>
    <xf numFmtId="172" fontId="0" fillId="0" borderId="0" xfId="0" applyNumberFormat="1"/>
    <xf numFmtId="0" fontId="17" fillId="0" borderId="3" xfId="3" applyFont="1" applyFill="1" applyBorder="1" applyAlignment="1">
      <alignment wrapText="1"/>
    </xf>
    <xf numFmtId="165" fontId="26" fillId="0" borderId="2" xfId="29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wrapText="1"/>
    </xf>
    <xf numFmtId="0" fontId="11" fillId="0" borderId="0" xfId="0" applyFont="1" applyFill="1" applyBorder="1" applyAlignment="1" applyProtection="1">
      <alignment horizontal="center" vertical="center" wrapText="1"/>
      <protection hidden="1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right" vertical="center" wrapText="1"/>
    </xf>
    <xf numFmtId="0" fontId="39" fillId="0" borderId="39" xfId="0" applyFont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0" fontId="39" fillId="0" borderId="0" xfId="0" applyFont="1" applyAlignment="1">
      <alignment horizontal="right" wrapText="1"/>
    </xf>
    <xf numFmtId="0" fontId="43" fillId="0" borderId="0" xfId="0" applyFont="1" applyAlignment="1">
      <alignment horizontal="right" wrapText="1"/>
    </xf>
    <xf numFmtId="0" fontId="40" fillId="0" borderId="0" xfId="0" applyFont="1" applyAlignment="1">
      <alignment horizontal="right" wrapText="1"/>
    </xf>
    <xf numFmtId="0" fontId="42" fillId="0" borderId="0" xfId="0" applyFont="1" applyAlignment="1">
      <alignment horizontal="right" wrapText="1"/>
    </xf>
    <xf numFmtId="0" fontId="40" fillId="0" borderId="0" xfId="0" applyFont="1" applyAlignment="1">
      <alignment wrapText="1"/>
    </xf>
    <xf numFmtId="0" fontId="39" fillId="0" borderId="0" xfId="0" applyFont="1" applyAlignment="1"/>
    <xf numFmtId="0" fontId="39" fillId="0" borderId="17" xfId="0" applyFont="1" applyBorder="1" applyAlignment="1">
      <alignment wrapText="1"/>
    </xf>
    <xf numFmtId="0" fontId="44" fillId="0" borderId="0" xfId="0" applyFont="1" applyAlignment="1">
      <alignment horizontal="center" wrapText="1"/>
    </xf>
    <xf numFmtId="2" fontId="39" fillId="0" borderId="0" xfId="0" applyNumberFormat="1" applyFont="1" applyAlignment="1">
      <alignment horizontal="right" vertical="center" wrapText="1"/>
    </xf>
    <xf numFmtId="2" fontId="39" fillId="0" borderId="0" xfId="0" applyNumberFormat="1" applyFont="1" applyAlignment="1">
      <alignment horizontal="right" wrapText="1"/>
    </xf>
    <xf numFmtId="2" fontId="43" fillId="0" borderId="0" xfId="0" applyNumberFormat="1" applyFont="1" applyAlignment="1">
      <alignment horizontal="right" wrapText="1"/>
    </xf>
    <xf numFmtId="2" fontId="40" fillId="0" borderId="0" xfId="0" applyNumberFormat="1" applyFont="1" applyAlignment="1">
      <alignment horizontal="right" wrapText="1"/>
    </xf>
    <xf numFmtId="173" fontId="40" fillId="0" borderId="0" xfId="0" applyNumberFormat="1" applyFont="1" applyAlignment="1">
      <alignment horizontal="right" wrapText="1"/>
    </xf>
    <xf numFmtId="173" fontId="39" fillId="0" borderId="0" xfId="0" applyNumberFormat="1" applyFont="1" applyAlignment="1">
      <alignment horizontal="right" wrapText="1"/>
    </xf>
    <xf numFmtId="0" fontId="39" fillId="2" borderId="0" xfId="0" applyFont="1" applyFill="1" applyAlignment="1">
      <alignment wrapText="1"/>
    </xf>
    <xf numFmtId="0" fontId="43" fillId="2" borderId="0" xfId="0" applyFont="1" applyFill="1" applyAlignment="1">
      <alignment horizontal="right" wrapText="1"/>
    </xf>
    <xf numFmtId="0" fontId="39" fillId="2" borderId="0" xfId="0" applyFont="1" applyFill="1" applyAlignment="1">
      <alignment horizontal="right" wrapText="1"/>
    </xf>
    <xf numFmtId="4" fontId="40" fillId="0" borderId="0" xfId="0" applyNumberFormat="1" applyFont="1" applyAlignment="1">
      <alignment horizontal="right" wrapText="1"/>
    </xf>
    <xf numFmtId="4" fontId="40" fillId="2" borderId="0" xfId="0" applyNumberFormat="1" applyFont="1" applyFill="1" applyAlignment="1">
      <alignment horizontal="right" wrapText="1"/>
    </xf>
    <xf numFmtId="169" fontId="0" fillId="0" borderId="0" xfId="0" applyNumberFormat="1"/>
    <xf numFmtId="0" fontId="49" fillId="0" borderId="0" xfId="0" applyFont="1" applyAlignment="1">
      <alignment horizontal="center" vertical="center" wrapText="1"/>
    </xf>
    <xf numFmtId="11" fontId="48" fillId="0" borderId="0" xfId="0" applyNumberFormat="1" applyFont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49" fontId="50" fillId="0" borderId="15" xfId="0" applyNumberFormat="1" applyFont="1" applyBorder="1" applyAlignment="1">
      <alignment horizontal="center" vertical="center" wrapText="1"/>
    </xf>
    <xf numFmtId="49" fontId="50" fillId="0" borderId="16" xfId="0" applyNumberFormat="1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25" fillId="0" borderId="0" xfId="43" applyFont="1" applyAlignment="1" applyProtection="1">
      <alignment horizontal="left" vertical="center" wrapText="1"/>
      <protection locked="0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169" fontId="25" fillId="4" borderId="4" xfId="41" quotePrefix="1" applyNumberFormat="1" applyFont="1" applyFill="1" applyBorder="1" applyAlignment="1">
      <alignment horizontal="center" vertical="center" wrapText="1"/>
    </xf>
    <xf numFmtId="169" fontId="25" fillId="4" borderId="5" xfId="41" quotePrefix="1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166" fontId="19" fillId="0" borderId="0" xfId="42" applyNumberFormat="1" applyFont="1" applyFill="1" applyBorder="1" applyAlignment="1">
      <alignment horizontal="left" vertical="center" wrapText="1"/>
    </xf>
    <xf numFmtId="166" fontId="19" fillId="0" borderId="0" xfId="42" applyNumberFormat="1" applyFont="1" applyFill="1" applyBorder="1" applyAlignment="1">
      <alignment horizontal="left" wrapText="1"/>
    </xf>
    <xf numFmtId="0" fontId="21" fillId="0" borderId="0" xfId="8" applyFont="1" applyAlignment="1">
      <alignment horizontal="left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8" fillId="0" borderId="0" xfId="8" applyFont="1" applyAlignment="1">
      <alignment horizontal="right" wrapText="1"/>
    </xf>
    <xf numFmtId="0" fontId="1" fillId="0" borderId="0" xfId="0" applyFont="1" applyAlignment="1">
      <alignment horizontal="right"/>
    </xf>
    <xf numFmtId="0" fontId="23" fillId="0" borderId="0" xfId="9" applyFont="1" applyBorder="1" applyAlignment="1">
      <alignment horizontal="center" vertical="center" wrapText="1"/>
    </xf>
    <xf numFmtId="0" fontId="5" fillId="0" borderId="0" xfId="14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 applyProtection="1">
      <alignment horizontal="center" vertical="center" wrapText="1"/>
      <protection hidden="1"/>
    </xf>
    <xf numFmtId="0" fontId="11" fillId="2" borderId="44" xfId="0" applyFont="1" applyFill="1" applyBorder="1" applyAlignment="1" applyProtection="1">
      <alignment horizontal="center" vertical="center" wrapText="1"/>
      <protection hidden="1"/>
    </xf>
    <xf numFmtId="0" fontId="11" fillId="2" borderId="45" xfId="0" applyFont="1" applyFill="1" applyBorder="1" applyAlignment="1" applyProtection="1">
      <alignment horizontal="center" vertical="center" wrapText="1"/>
      <protection hidden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0" fillId="0" borderId="46" xfId="0" applyBorder="1" applyAlignment="1">
      <alignment horizontal="center"/>
    </xf>
    <xf numFmtId="0" fontId="0" fillId="0" borderId="0" xfId="0" applyAlignment="1">
      <alignment horizontal="center"/>
    </xf>
    <xf numFmtId="0" fontId="33" fillId="0" borderId="0" xfId="7" applyFont="1" applyBorder="1" applyAlignment="1">
      <alignment horizontal="center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right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39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0" fontId="39" fillId="0" borderId="33" xfId="0" applyFont="1" applyBorder="1" applyAlignment="1">
      <alignment vertical="center" wrapText="1"/>
    </xf>
    <xf numFmtId="0" fontId="39" fillId="0" borderId="38" xfId="0" applyFont="1" applyBorder="1" applyAlignment="1">
      <alignment horizontal="center"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Alignment="1">
      <alignment horizontal="right" vertical="center" wrapText="1"/>
    </xf>
    <xf numFmtId="2" fontId="43" fillId="0" borderId="0" xfId="0" applyNumberFormat="1" applyFont="1" applyAlignment="1">
      <alignment horizontal="right" vertical="center" wrapText="1"/>
    </xf>
    <xf numFmtId="0" fontId="39" fillId="0" borderId="0" xfId="0" applyFont="1" applyAlignment="1">
      <alignment horizontal="right" wrapText="1"/>
    </xf>
    <xf numFmtId="0" fontId="39" fillId="0" borderId="0" xfId="0" applyFont="1" applyAlignment="1">
      <alignment wrapText="1"/>
    </xf>
    <xf numFmtId="0" fontId="43" fillId="0" borderId="0" xfId="0" applyFont="1" applyAlignment="1">
      <alignment horizontal="right" wrapText="1"/>
    </xf>
    <xf numFmtId="2" fontId="43" fillId="0" borderId="0" xfId="0" applyNumberFormat="1" applyFont="1" applyAlignment="1">
      <alignment horizontal="right" wrapText="1"/>
    </xf>
    <xf numFmtId="0" fontId="40" fillId="0" borderId="0" xfId="0" applyFont="1" applyAlignment="1">
      <alignment horizontal="right" wrapText="1"/>
    </xf>
    <xf numFmtId="0" fontId="40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39" fillId="2" borderId="0" xfId="0" applyFont="1" applyFill="1" applyAlignment="1">
      <alignment horizontal="right" wrapText="1"/>
    </xf>
    <xf numFmtId="0" fontId="44" fillId="0" borderId="0" xfId="0" applyFont="1" applyAlignment="1">
      <alignment horizontal="left" wrapText="1"/>
    </xf>
    <xf numFmtId="2" fontId="39" fillId="0" borderId="0" xfId="0" applyNumberFormat="1" applyFont="1" applyAlignment="1">
      <alignment horizontal="right" wrapText="1"/>
    </xf>
    <xf numFmtId="169" fontId="11" fillId="2" borderId="34" xfId="29" applyNumberFormat="1" applyFont="1" applyFill="1" applyBorder="1" applyAlignment="1">
      <alignment horizontal="right" vertical="top" wrapText="1"/>
    </xf>
  </cellXfs>
  <cellStyles count="44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845344</xdr:colOff>
      <xdr:row>49</xdr:row>
      <xdr:rowOff>119062</xdr:rowOff>
    </xdr:from>
    <xdr:to>
      <xdr:col>2</xdr:col>
      <xdr:colOff>2016919</xdr:colOff>
      <xdr:row>50</xdr:row>
      <xdr:rowOff>161924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8894" y="13749337"/>
          <a:ext cx="1171575" cy="5191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2219325</xdr:colOff>
      <xdr:row>50</xdr:row>
      <xdr:rowOff>269082</xdr:rowOff>
    </xdr:from>
    <xdr:to>
      <xdr:col>4</xdr:col>
      <xdr:colOff>226219</xdr:colOff>
      <xdr:row>51</xdr:row>
      <xdr:rowOff>454726</xdr:rowOff>
    </xdr:to>
    <xdr:pic>
      <xdr:nvPicPr>
        <xdr:cNvPr id="102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3957638" y="14878051"/>
          <a:ext cx="1554956" cy="5904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773906</xdr:colOff>
      <xdr:row>3</xdr:row>
      <xdr:rowOff>0</xdr:rowOff>
    </xdr:from>
    <xdr:to>
      <xdr:col>16</xdr:col>
      <xdr:colOff>566737</xdr:colOff>
      <xdr:row>6</xdr:row>
      <xdr:rowOff>304800</xdr:rowOff>
    </xdr:to>
    <xdr:pic>
      <xdr:nvPicPr>
        <xdr:cNvPr id="10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322969" y="714375"/>
          <a:ext cx="2364581" cy="112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3703108</xdr:colOff>
      <xdr:row>33</xdr:row>
      <xdr:rowOff>131234</xdr:rowOff>
    </xdr:from>
    <xdr:to>
      <xdr:col>3</xdr:col>
      <xdr:colOff>975685</xdr:colOff>
      <xdr:row>34</xdr:row>
      <xdr:rowOff>127000</xdr:rowOff>
    </xdr:to>
    <xdr:pic>
      <xdr:nvPicPr>
        <xdr:cNvPr id="2049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5788025" y="9402234"/>
          <a:ext cx="1812827" cy="68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3758141</xdr:colOff>
      <xdr:row>37</xdr:row>
      <xdr:rowOff>175683</xdr:rowOff>
    </xdr:from>
    <xdr:to>
      <xdr:col>3</xdr:col>
      <xdr:colOff>319616</xdr:colOff>
      <xdr:row>39</xdr:row>
      <xdr:rowOff>89958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43058" y="10706100"/>
          <a:ext cx="1101725" cy="6021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238125</xdr:colOff>
      <xdr:row>4</xdr:row>
      <xdr:rowOff>139700</xdr:rowOff>
    </xdr:from>
    <xdr:to>
      <xdr:col>6</xdr:col>
      <xdr:colOff>1275292</xdr:colOff>
      <xdr:row>5</xdr:row>
      <xdr:rowOff>244475</xdr:rowOff>
    </xdr:to>
    <xdr:pic>
      <xdr:nvPicPr>
        <xdr:cNvPr id="2051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636125" y="975783"/>
          <a:ext cx="2370667" cy="11313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202/AppData/Local/Microsoft/Windows/Temporary%20Internet%20Files/Content.Outlook/RV5BKWFD/&#1057;&#1057;&#1056;%20&#1055;&#1086;&#1084;&#1086;&#1079;&#1076;&#1080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u3111/AppData/Local/Microsoft/Windows/Temporary%20Internet%20Files/Content.Outlook/D00BNG4C/&#1070;&#1069;&#1057;_&#1057;&#1084;&#1077;&#1090;&#1085;&#1099;&#1081;%20&#1088;&#1072;&#1089;&#1095;&#1077;&#1090;%20+%20&#1053;&#1052;&#1062;%20&#1083;&#1086;&#1090;&#1072;%20&#1057;&#1052;&#1056;_009-55-2-03.31-1897_&#1085;&#1086;&#1074;&#1099;&#1081;%20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база"/>
      <sheetName val="CCР тек"/>
    </sheetNames>
    <sheetDataSet>
      <sheetData sheetId="0">
        <row r="9">
          <cell r="A9" t="str">
            <v>009-55-2-03.31-1897 Строительство КТП 10/0,4 кВ, ответвления ВЛ 10 кВ яч.3Д ПС «Помоздино» и ВЛ 10 кВ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- 0,850 км, КТП 10/0,4 кВ - 1,26 МВА, КЛ 0,4 кВ - 1,200 км)</v>
          </cell>
        </row>
      </sheetData>
      <sheetData sheetId="1">
        <row r="35">
          <cell r="G35">
            <v>246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 текущих ценах"/>
      <sheetName val="База"/>
      <sheetName val="Расчет стоимости"/>
      <sheetName val="НМЦ лота"/>
      <sheetName val="Локальная смета"/>
    </sheetNames>
    <sheetDataSet>
      <sheetData sheetId="0" refreshError="1"/>
      <sheetData sheetId="1" refreshError="1"/>
      <sheetData sheetId="2"/>
      <sheetData sheetId="3"/>
      <sheetData sheetId="4">
        <row r="359">
          <cell r="F359">
            <v>533172.19999999995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opLeftCell="A25" workbookViewId="0">
      <selection activeCell="G39" sqref="G39"/>
    </sheetView>
  </sheetViews>
  <sheetFormatPr defaultRowHeight="15" x14ac:dyDescent="0.25"/>
  <cols>
    <col min="1" max="1" width="6" customWidth="1"/>
    <col min="2" max="2" width="24.85546875" customWidth="1"/>
    <col min="3" max="3" width="47.5703125" customWidth="1"/>
    <col min="4" max="4" width="22.140625" customWidth="1"/>
    <col min="5" max="5" width="15.85546875" customWidth="1"/>
    <col min="6" max="6" width="16.28515625" customWidth="1"/>
    <col min="7" max="7" width="11.5703125" customWidth="1"/>
    <col min="8" max="8" width="19" customWidth="1"/>
    <col min="10" max="10" width="11" bestFit="1" customWidth="1"/>
  </cols>
  <sheetData>
    <row r="1" spans="1:8" ht="18.75" customHeight="1" x14ac:dyDescent="0.25">
      <c r="A1" s="320" t="s">
        <v>1096</v>
      </c>
      <c r="C1" s="269"/>
      <c r="D1" s="270"/>
      <c r="E1" s="270"/>
      <c r="F1" s="270"/>
      <c r="G1" s="270"/>
      <c r="H1" s="270"/>
    </row>
    <row r="2" spans="1:8" x14ac:dyDescent="0.25">
      <c r="A2" s="266"/>
      <c r="B2" s="259"/>
      <c r="C2" s="259"/>
      <c r="D2" s="259"/>
      <c r="E2" s="259"/>
      <c r="F2" s="259"/>
      <c r="G2" s="259"/>
      <c r="H2" s="259"/>
    </row>
    <row r="3" spans="1:8" ht="16.5" x14ac:dyDescent="0.25">
      <c r="A3" s="321" t="s">
        <v>1015</v>
      </c>
      <c r="B3" s="266"/>
      <c r="C3" s="266"/>
      <c r="D3" s="271"/>
      <c r="E3" s="266"/>
      <c r="F3" s="266"/>
      <c r="G3" s="266"/>
      <c r="H3" s="266"/>
    </row>
    <row r="4" spans="1:8" x14ac:dyDescent="0.25">
      <c r="A4" s="266"/>
      <c r="B4" s="266"/>
      <c r="C4" s="266"/>
      <c r="D4" s="259"/>
      <c r="E4" s="259"/>
      <c r="F4" s="259"/>
      <c r="G4" s="259"/>
      <c r="H4" s="266"/>
    </row>
    <row r="5" spans="1:8" ht="18.75" customHeight="1" x14ac:dyDescent="0.25">
      <c r="A5" s="322" t="s">
        <v>1100</v>
      </c>
      <c r="B5" s="259"/>
      <c r="C5" s="259"/>
      <c r="D5" s="259"/>
      <c r="E5" s="259"/>
      <c r="F5" s="259"/>
      <c r="G5" s="259"/>
      <c r="H5" s="259"/>
    </row>
    <row r="6" spans="1:8" x14ac:dyDescent="0.25">
      <c r="A6" s="259"/>
      <c r="B6" s="259"/>
      <c r="D6" s="249"/>
      <c r="E6" s="259"/>
      <c r="F6" s="266"/>
      <c r="G6" s="266"/>
      <c r="H6" s="266"/>
    </row>
    <row r="7" spans="1:8" ht="20.25" customHeight="1" x14ac:dyDescent="0.25">
      <c r="A7" s="427" t="s">
        <v>64</v>
      </c>
      <c r="B7" s="427"/>
      <c r="C7" s="427"/>
      <c r="D7" s="427"/>
      <c r="E7" s="427"/>
      <c r="F7" s="427"/>
      <c r="G7" s="427"/>
      <c r="H7" s="427"/>
    </row>
    <row r="8" spans="1:8" ht="50.25" customHeight="1" x14ac:dyDescent="0.25">
      <c r="A8" s="428" t="s">
        <v>1064</v>
      </c>
      <c r="B8" s="428"/>
      <c r="C8" s="428"/>
      <c r="D8" s="428"/>
      <c r="E8" s="428"/>
      <c r="F8" s="428"/>
      <c r="G8" s="428"/>
      <c r="H8" s="428"/>
    </row>
    <row r="9" spans="1:8" ht="15" customHeight="1" x14ac:dyDescent="0.25">
      <c r="A9" s="429" t="s">
        <v>338</v>
      </c>
      <c r="B9" s="429"/>
      <c r="C9" s="429"/>
      <c r="D9" s="429"/>
      <c r="E9" s="429"/>
      <c r="F9" s="429"/>
      <c r="G9" s="429"/>
      <c r="H9" s="429"/>
    </row>
    <row r="10" spans="1:8" ht="15" customHeight="1" x14ac:dyDescent="0.25">
      <c r="A10" s="430" t="s">
        <v>196</v>
      </c>
      <c r="B10" s="432" t="s">
        <v>46</v>
      </c>
      <c r="C10" s="430" t="s">
        <v>47</v>
      </c>
      <c r="D10" s="434" t="s">
        <v>48</v>
      </c>
      <c r="E10" s="435"/>
      <c r="F10" s="435"/>
      <c r="G10" s="436"/>
      <c r="H10" s="430" t="s">
        <v>197</v>
      </c>
    </row>
    <row r="11" spans="1:8" ht="42.75" x14ac:dyDescent="0.25">
      <c r="A11" s="431"/>
      <c r="B11" s="433"/>
      <c r="C11" s="431"/>
      <c r="D11" s="323" t="s">
        <v>5</v>
      </c>
      <c r="E11" s="323" t="s">
        <v>6</v>
      </c>
      <c r="F11" s="323" t="s">
        <v>198</v>
      </c>
      <c r="G11" s="323" t="s">
        <v>8</v>
      </c>
      <c r="H11" s="431"/>
    </row>
    <row r="12" spans="1:8" x14ac:dyDescent="0.25">
      <c r="A12" s="324"/>
      <c r="B12" s="325">
        <v>2</v>
      </c>
      <c r="C12" s="324">
        <v>3</v>
      </c>
      <c r="D12" s="324">
        <v>4</v>
      </c>
      <c r="E12" s="324">
        <v>5</v>
      </c>
      <c r="F12" s="324">
        <v>6</v>
      </c>
      <c r="G12" s="324">
        <v>7</v>
      </c>
      <c r="H12" s="324">
        <v>8</v>
      </c>
    </row>
    <row r="13" spans="1:8" ht="30" x14ac:dyDescent="0.25">
      <c r="A13" s="324"/>
      <c r="B13" s="325"/>
      <c r="C13" s="326" t="s">
        <v>199</v>
      </c>
      <c r="D13" s="327"/>
      <c r="E13" s="327"/>
      <c r="F13" s="327"/>
      <c r="G13" s="327"/>
      <c r="H13" s="327"/>
    </row>
    <row r="14" spans="1:8" x14ac:dyDescent="0.25">
      <c r="A14" s="324"/>
      <c r="B14" s="328"/>
      <c r="C14" s="329"/>
      <c r="D14" s="330"/>
      <c r="E14" s="330"/>
      <c r="F14" s="330"/>
      <c r="G14" s="330"/>
      <c r="H14" s="331"/>
    </row>
    <row r="15" spans="1:8" x14ac:dyDescent="0.25">
      <c r="A15" s="324"/>
      <c r="B15" s="325"/>
      <c r="C15" s="332" t="s">
        <v>200</v>
      </c>
      <c r="D15" s="330"/>
      <c r="E15" s="330"/>
      <c r="F15" s="330"/>
      <c r="G15" s="330"/>
      <c r="H15" s="331"/>
    </row>
    <row r="16" spans="1:8" ht="30" x14ac:dyDescent="0.25">
      <c r="A16" s="333"/>
      <c r="B16" s="334"/>
      <c r="C16" s="326" t="s">
        <v>201</v>
      </c>
      <c r="D16" s="330"/>
      <c r="E16" s="330"/>
      <c r="F16" s="330"/>
      <c r="G16" s="330"/>
      <c r="H16" s="335"/>
    </row>
    <row r="17" spans="1:10" x14ac:dyDescent="0.25">
      <c r="A17" s="336">
        <v>1</v>
      </c>
      <c r="B17" s="337" t="s">
        <v>70</v>
      </c>
      <c r="C17" s="332" t="s">
        <v>1024</v>
      </c>
      <c r="D17" s="338">
        <f>122.20826+53.44096</f>
        <v>175.64921999999999</v>
      </c>
      <c r="E17" s="338">
        <v>50.507010000000001</v>
      </c>
      <c r="F17" s="338">
        <v>1423</v>
      </c>
      <c r="G17" s="338">
        <v>0</v>
      </c>
      <c r="H17" s="339">
        <f>SUM(D17:G17)</f>
        <v>1649.1562300000001</v>
      </c>
    </row>
    <row r="18" spans="1:10" x14ac:dyDescent="0.25">
      <c r="A18" s="336">
        <v>2</v>
      </c>
      <c r="B18" s="337" t="s">
        <v>70</v>
      </c>
      <c r="C18" s="332" t="s">
        <v>340</v>
      </c>
      <c r="D18" s="338">
        <f>1171439.73/1000</f>
        <v>1171.4397300000001</v>
      </c>
      <c r="E18" s="338"/>
      <c r="F18" s="338"/>
      <c r="G18" s="338"/>
      <c r="H18" s="339">
        <f t="shared" ref="H18:H19" si="0">SUM(D18:G18)</f>
        <v>1171.4397300000001</v>
      </c>
    </row>
    <row r="19" spans="1:10" x14ac:dyDescent="0.25">
      <c r="A19" s="336">
        <v>3</v>
      </c>
      <c r="B19" s="337" t="s">
        <v>70</v>
      </c>
      <c r="C19" s="332" t="s">
        <v>341</v>
      </c>
      <c r="D19" s="338">
        <v>354.62795</v>
      </c>
      <c r="E19" s="338">
        <f>446.4029+7.02659+633.81775</f>
        <v>1087.2472400000001</v>
      </c>
      <c r="F19" s="338"/>
      <c r="G19" s="338"/>
      <c r="H19" s="339">
        <f t="shared" si="0"/>
        <v>1441.8751900000002</v>
      </c>
    </row>
    <row r="20" spans="1:10" x14ac:dyDescent="0.25">
      <c r="A20" s="336"/>
      <c r="B20" s="340"/>
      <c r="C20" s="341" t="s">
        <v>202</v>
      </c>
      <c r="D20" s="338">
        <f>SUM(D17:D19)</f>
        <v>1701.7169000000001</v>
      </c>
      <c r="E20" s="338">
        <f>SUM(E17:E19)</f>
        <v>1137.7542500000002</v>
      </c>
      <c r="F20" s="338">
        <f>SUM(F17:F18)</f>
        <v>1423</v>
      </c>
      <c r="G20" s="338">
        <f>SUM(G17:G17)</f>
        <v>0</v>
      </c>
      <c r="H20" s="338">
        <f>SUM(D20:G20)</f>
        <v>4262.4711500000003</v>
      </c>
    </row>
    <row r="21" spans="1:10" ht="30" x14ac:dyDescent="0.25">
      <c r="A21" s="342"/>
      <c r="B21" s="343"/>
      <c r="C21" s="344" t="s">
        <v>203</v>
      </c>
      <c r="D21" s="338"/>
      <c r="E21" s="338"/>
      <c r="F21" s="338"/>
      <c r="G21" s="338"/>
      <c r="H21" s="345"/>
    </row>
    <row r="22" spans="1:10" ht="28.5" x14ac:dyDescent="0.25">
      <c r="A22" s="336">
        <v>4</v>
      </c>
      <c r="B22" s="337" t="s">
        <v>1025</v>
      </c>
      <c r="C22" s="346" t="s">
        <v>88</v>
      </c>
      <c r="D22" s="338">
        <f>D20*2.5%</f>
        <v>42.542922500000003</v>
      </c>
      <c r="E22" s="338">
        <f>E20*2.5%</f>
        <v>28.443856250000007</v>
      </c>
      <c r="F22" s="338"/>
      <c r="G22" s="338"/>
      <c r="H22" s="339">
        <f>SUM(D22:G22)</f>
        <v>70.986778750000013</v>
      </c>
    </row>
    <row r="23" spans="1:10" x14ac:dyDescent="0.25">
      <c r="A23" s="336"/>
      <c r="B23" s="337"/>
      <c r="C23" s="347" t="s">
        <v>204</v>
      </c>
      <c r="D23" s="338">
        <f>D15+D20+D22</f>
        <v>1744.2598225000002</v>
      </c>
      <c r="E23" s="338">
        <f>E15+E20+E22</f>
        <v>1166.1981062500001</v>
      </c>
      <c r="F23" s="338">
        <f>F20</f>
        <v>1423</v>
      </c>
      <c r="G23" s="338">
        <f>G15+G20+G22</f>
        <v>0</v>
      </c>
      <c r="H23" s="348">
        <f>SUM(D23:G23)</f>
        <v>4333.4579287500001</v>
      </c>
    </row>
    <row r="24" spans="1:10" ht="30" x14ac:dyDescent="0.25">
      <c r="A24" s="342"/>
      <c r="B24" s="337"/>
      <c r="C24" s="344" t="s">
        <v>205</v>
      </c>
      <c r="D24" s="345"/>
      <c r="E24" s="345"/>
      <c r="F24" s="345"/>
      <c r="G24" s="345"/>
      <c r="H24" s="345"/>
      <c r="J24" s="426"/>
    </row>
    <row r="25" spans="1:10" ht="42.75" x14ac:dyDescent="0.25">
      <c r="A25" s="336">
        <v>5</v>
      </c>
      <c r="B25" s="349" t="s">
        <v>1028</v>
      </c>
      <c r="C25" s="346" t="s">
        <v>206</v>
      </c>
      <c r="D25" s="350">
        <f>D23*3.19%</f>
        <v>55.641888337750004</v>
      </c>
      <c r="E25" s="350">
        <f>E23*3.52%</f>
        <v>41.050173340000008</v>
      </c>
      <c r="F25" s="339"/>
      <c r="G25" s="339"/>
      <c r="H25" s="339">
        <f>SUM(D25:G25)</f>
        <v>96.692061677750019</v>
      </c>
    </row>
    <row r="26" spans="1:10" ht="45" x14ac:dyDescent="0.25">
      <c r="A26" s="336">
        <v>6</v>
      </c>
      <c r="B26" s="349" t="s">
        <v>81</v>
      </c>
      <c r="C26" s="341" t="s">
        <v>58</v>
      </c>
      <c r="D26" s="350"/>
      <c r="E26" s="350"/>
      <c r="F26" s="339"/>
      <c r="G26" s="339">
        <f>(D23+E23+H25)*2.7%</f>
        <v>81.19304974154926</v>
      </c>
      <c r="H26" s="339">
        <f>SUM(D26:G26)</f>
        <v>81.19304974154926</v>
      </c>
    </row>
    <row r="27" spans="1:10" x14ac:dyDescent="0.25">
      <c r="A27" s="336">
        <v>7</v>
      </c>
      <c r="B27" s="337" t="s">
        <v>70</v>
      </c>
      <c r="C27" s="341" t="s">
        <v>1023</v>
      </c>
      <c r="D27" s="350"/>
      <c r="E27" s="350"/>
      <c r="F27" s="339"/>
      <c r="G27" s="339">
        <f>13.00778</f>
        <v>13.00778</v>
      </c>
      <c r="H27" s="339">
        <f>SUM(D27:G27)</f>
        <v>13.00778</v>
      </c>
    </row>
    <row r="28" spans="1:10" x14ac:dyDescent="0.25">
      <c r="A28" s="336"/>
      <c r="B28" s="340"/>
      <c r="C28" s="351" t="s">
        <v>207</v>
      </c>
      <c r="D28" s="338">
        <f>SUM(D25:D26)</f>
        <v>55.641888337750004</v>
      </c>
      <c r="E28" s="338">
        <f>SUM(E25:E26)</f>
        <v>41.050173340000008</v>
      </c>
      <c r="F28" s="338">
        <f>SUM(F25:F26)</f>
        <v>0</v>
      </c>
      <c r="G28" s="338">
        <f>SUM(G25:G27)</f>
        <v>94.200829741549256</v>
      </c>
      <c r="H28" s="339">
        <f>SUM(D28:G28)</f>
        <v>190.89289141929927</v>
      </c>
    </row>
    <row r="29" spans="1:10" x14ac:dyDescent="0.25">
      <c r="A29" s="336"/>
      <c r="B29" s="340"/>
      <c r="C29" s="347" t="s">
        <v>208</v>
      </c>
      <c r="D29" s="338">
        <f>D23+D28</f>
        <v>1799.9017108377502</v>
      </c>
      <c r="E29" s="338">
        <f>E23+E28</f>
        <v>1207.24827959</v>
      </c>
      <c r="F29" s="338">
        <f>F20</f>
        <v>1423</v>
      </c>
      <c r="G29" s="338">
        <f>G15+G28</f>
        <v>94.200829741549256</v>
      </c>
      <c r="H29" s="338">
        <f>SUM(D29:G29)</f>
        <v>4524.3508201692994</v>
      </c>
    </row>
    <row r="30" spans="1:10" ht="60" x14ac:dyDescent="0.25">
      <c r="A30" s="342"/>
      <c r="B30" s="343"/>
      <c r="C30" s="344" t="s">
        <v>209</v>
      </c>
      <c r="D30" s="345"/>
      <c r="E30" s="345"/>
      <c r="F30" s="345"/>
      <c r="G30" s="345"/>
      <c r="H30" s="345"/>
    </row>
    <row r="31" spans="1:10" ht="45" x14ac:dyDescent="0.25">
      <c r="A31" s="336">
        <v>8</v>
      </c>
      <c r="B31" s="349" t="s">
        <v>82</v>
      </c>
      <c r="C31" s="352" t="s">
        <v>210</v>
      </c>
      <c r="D31" s="339"/>
      <c r="E31" s="339"/>
      <c r="F31" s="339"/>
      <c r="G31" s="339">
        <f>H29*2.14%</f>
        <v>96.821107551623015</v>
      </c>
      <c r="H31" s="339">
        <f>SUM(D31:G31)</f>
        <v>96.821107551623015</v>
      </c>
    </row>
    <row r="32" spans="1:10" ht="45" x14ac:dyDescent="0.25">
      <c r="A32" s="336">
        <v>9</v>
      </c>
      <c r="B32" s="349" t="s">
        <v>82</v>
      </c>
      <c r="C32" s="353" t="s">
        <v>344</v>
      </c>
      <c r="D32" s="339"/>
      <c r="E32" s="339"/>
      <c r="F32" s="339"/>
      <c r="G32" s="339">
        <f>(H29+G35)*4.36%</f>
        <v>207.98729575938145</v>
      </c>
      <c r="H32" s="339">
        <f>G32</f>
        <v>207.98729575938145</v>
      </c>
    </row>
    <row r="33" spans="1:8" x14ac:dyDescent="0.25">
      <c r="A33" s="336"/>
      <c r="B33" s="354"/>
      <c r="C33" s="347" t="s">
        <v>212</v>
      </c>
      <c r="D33" s="339"/>
      <c r="E33" s="339"/>
      <c r="F33" s="339"/>
      <c r="G33" s="339">
        <f>G31+G32</f>
        <v>304.80840331100444</v>
      </c>
      <c r="H33" s="339">
        <f>G33</f>
        <v>304.80840331100444</v>
      </c>
    </row>
    <row r="34" spans="1:8" ht="30" x14ac:dyDescent="0.25">
      <c r="A34" s="342"/>
      <c r="B34" s="343"/>
      <c r="C34" s="344" t="s">
        <v>213</v>
      </c>
      <c r="D34" s="345"/>
      <c r="E34" s="345"/>
      <c r="F34" s="345"/>
      <c r="G34" s="345"/>
      <c r="H34" s="345"/>
    </row>
    <row r="35" spans="1:8" ht="30" x14ac:dyDescent="0.25">
      <c r="A35" s="355">
        <v>10</v>
      </c>
      <c r="B35" s="356" t="s">
        <v>342</v>
      </c>
      <c r="C35" s="357" t="s">
        <v>214</v>
      </c>
      <c r="D35" s="358"/>
      <c r="E35" s="358"/>
      <c r="F35" s="358"/>
      <c r="G35" s="358">
        <v>246</v>
      </c>
      <c r="H35" s="358">
        <f>G35</f>
        <v>246</v>
      </c>
    </row>
    <row r="36" spans="1:8" x14ac:dyDescent="0.25">
      <c r="A36" s="336"/>
      <c r="B36" s="340"/>
      <c r="C36" s="359" t="s">
        <v>215</v>
      </c>
      <c r="D36" s="338">
        <f>SUM(D35)</f>
        <v>0</v>
      </c>
      <c r="E36" s="338">
        <f>SUM(E35)</f>
        <v>0</v>
      </c>
      <c r="F36" s="338">
        <f>SUM(F35)</f>
        <v>0</v>
      </c>
      <c r="G36" s="338">
        <f>SUM(G35)</f>
        <v>246</v>
      </c>
      <c r="H36" s="338">
        <f>SUM(H35)</f>
        <v>246</v>
      </c>
    </row>
    <row r="37" spans="1:8" x14ac:dyDescent="0.25">
      <c r="A37" s="336"/>
      <c r="B37" s="340"/>
      <c r="C37" s="359" t="s">
        <v>216</v>
      </c>
      <c r="D37" s="338">
        <f>D29+D36</f>
        <v>1799.9017108377502</v>
      </c>
      <c r="E37" s="338">
        <f>E29+E36</f>
        <v>1207.24827959</v>
      </c>
      <c r="F37" s="338">
        <f>F29</f>
        <v>1423</v>
      </c>
      <c r="G37" s="338">
        <f>G36+G33+G29</f>
        <v>645.00923305255367</v>
      </c>
      <c r="H37" s="338">
        <f>SUM(D37:G37)</f>
        <v>5075.1592234803038</v>
      </c>
    </row>
    <row r="38" spans="1:8" ht="30" x14ac:dyDescent="0.25">
      <c r="A38" s="336">
        <v>11</v>
      </c>
      <c r="B38" s="360" t="s">
        <v>83</v>
      </c>
      <c r="C38" s="361" t="s">
        <v>217</v>
      </c>
      <c r="D38" s="339">
        <f>D37*0.03</f>
        <v>53.997051325132503</v>
      </c>
      <c r="E38" s="339">
        <f>E37*0.03</f>
        <v>36.217448387700003</v>
      </c>
      <c r="F38" s="339">
        <f>F37*0.03</f>
        <v>42.69</v>
      </c>
      <c r="G38" s="339">
        <f>(G37-G36)*0.03</f>
        <v>11.970276991576609</v>
      </c>
      <c r="H38" s="339">
        <f>SUM(D38:G38)</f>
        <v>144.8747767044091</v>
      </c>
    </row>
    <row r="39" spans="1:8" x14ac:dyDescent="0.25">
      <c r="A39" s="333"/>
      <c r="B39" s="362"/>
      <c r="C39" s="344" t="s">
        <v>218</v>
      </c>
      <c r="D39" s="363">
        <f>SUM(D37+D38)</f>
        <v>1853.8987621628828</v>
      </c>
      <c r="E39" s="363">
        <f>SUM(E37+E38)</f>
        <v>1243.4657279777</v>
      </c>
      <c r="F39" s="363">
        <f>SUM(F37+F38)</f>
        <v>1465.69</v>
      </c>
      <c r="G39" s="363">
        <f>SUM(G37+G38)</f>
        <v>656.97951004413028</v>
      </c>
      <c r="H39" s="363">
        <f>SUM(D39:G39)</f>
        <v>5220.0340001847135</v>
      </c>
    </row>
    <row r="40" spans="1:8" x14ac:dyDescent="0.25">
      <c r="A40" s="333"/>
      <c r="B40" s="362" t="s">
        <v>219</v>
      </c>
      <c r="C40" s="346" t="s">
        <v>220</v>
      </c>
      <c r="D40" s="338">
        <f>D39*0.2</f>
        <v>370.77975243257657</v>
      </c>
      <c r="E40" s="338">
        <f t="shared" ref="E40:F40" si="1">E39*0.2</f>
        <v>248.69314559554002</v>
      </c>
      <c r="F40" s="338">
        <f t="shared" si="1"/>
        <v>293.13800000000003</v>
      </c>
      <c r="G40" s="338">
        <f>(G39-G35)*0.2</f>
        <v>82.195902008826067</v>
      </c>
      <c r="H40" s="338">
        <f>SUM(D40:G40)</f>
        <v>994.8068000369426</v>
      </c>
    </row>
    <row r="41" spans="1:8" ht="30" x14ac:dyDescent="0.25">
      <c r="A41" s="333"/>
      <c r="B41" s="362"/>
      <c r="C41" s="344" t="s">
        <v>221</v>
      </c>
      <c r="D41" s="363">
        <f>D39+D40</f>
        <v>2224.6785145954595</v>
      </c>
      <c r="E41" s="363">
        <f t="shared" ref="E41:G41" si="2">E39+E40</f>
        <v>1492.15887357324</v>
      </c>
      <c r="F41" s="363">
        <f t="shared" si="2"/>
        <v>1758.828</v>
      </c>
      <c r="G41" s="363">
        <f t="shared" si="2"/>
        <v>739.17541205295629</v>
      </c>
      <c r="H41" s="363">
        <f>SUM(D41:G41)</f>
        <v>6214.8408002216565</v>
      </c>
    </row>
    <row r="42" spans="1:8" x14ac:dyDescent="0.25">
      <c r="A42" s="254"/>
    </row>
    <row r="43" spans="1:8" x14ac:dyDescent="0.25">
      <c r="A43" s="254"/>
    </row>
    <row r="44" spans="1:8" x14ac:dyDescent="0.25">
      <c r="A44" s="254"/>
      <c r="B44" s="254"/>
      <c r="C44" s="255"/>
      <c r="D44" s="277"/>
      <c r="E44" s="254"/>
      <c r="F44" s="254"/>
      <c r="G44" s="277"/>
      <c r="H44" s="254"/>
    </row>
    <row r="45" spans="1:8" x14ac:dyDescent="0.25">
      <c r="A45" s="254"/>
      <c r="B45" s="256"/>
      <c r="C45" s="254"/>
      <c r="D45" s="254"/>
      <c r="E45" s="254"/>
      <c r="F45" s="254"/>
      <c r="G45" s="254"/>
      <c r="H45" s="254"/>
    </row>
    <row r="46" spans="1:8" x14ac:dyDescent="0.25">
      <c r="B46" s="256"/>
      <c r="C46" s="254"/>
      <c r="D46" s="254"/>
      <c r="E46" s="254"/>
      <c r="F46" s="254"/>
      <c r="G46" s="254"/>
      <c r="H46" s="254"/>
    </row>
    <row r="47" spans="1:8" x14ac:dyDescent="0.25">
      <c r="B47" s="254"/>
      <c r="C47" s="255"/>
      <c r="D47" s="254"/>
      <c r="E47" s="254"/>
      <c r="F47" s="254"/>
      <c r="G47" s="254"/>
      <c r="H47" s="254"/>
    </row>
    <row r="50" spans="1:11" x14ac:dyDescent="0.25">
      <c r="A50" s="254"/>
      <c r="B50" s="254"/>
      <c r="C50" s="255"/>
      <c r="D50" s="254"/>
      <c r="E50" s="254"/>
      <c r="F50" s="254"/>
      <c r="G50" s="254"/>
      <c r="H50" s="254"/>
    </row>
    <row r="54" spans="1:11" x14ac:dyDescent="0.25">
      <c r="J54" s="250"/>
    </row>
    <row r="56" spans="1:11" x14ac:dyDescent="0.25">
      <c r="K56" s="251"/>
    </row>
    <row r="59" spans="1:11" x14ac:dyDescent="0.25">
      <c r="I59" s="252"/>
      <c r="J59" s="253"/>
    </row>
  </sheetData>
  <mergeCells count="8">
    <mergeCell ref="A7:H7"/>
    <mergeCell ref="A8:H8"/>
    <mergeCell ref="A9:H9"/>
    <mergeCell ref="A10:A11"/>
    <mergeCell ref="B10:B11"/>
    <mergeCell ref="C10:C11"/>
    <mergeCell ref="D10:G10"/>
    <mergeCell ref="H10:H11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opLeftCell="A4" workbookViewId="0">
      <selection activeCell="G39" sqref="G39"/>
    </sheetView>
  </sheetViews>
  <sheetFormatPr defaultRowHeight="15" x14ac:dyDescent="0.25"/>
  <cols>
    <col min="1" max="1" width="6" customWidth="1"/>
    <col min="2" max="2" width="21.42578125" customWidth="1"/>
    <col min="3" max="3" width="47.5703125" customWidth="1"/>
    <col min="4" max="4" width="12.85546875" customWidth="1"/>
    <col min="5" max="5" width="10.42578125" customWidth="1"/>
    <col min="6" max="6" width="11.140625" customWidth="1"/>
    <col min="7" max="7" width="12" customWidth="1"/>
    <col min="8" max="8" width="22" customWidth="1"/>
  </cols>
  <sheetData>
    <row r="1" spans="1:8" ht="18.75" customHeight="1" x14ac:dyDescent="0.25">
      <c r="A1" s="320" t="s">
        <v>1097</v>
      </c>
      <c r="C1" s="269"/>
      <c r="D1" s="272"/>
      <c r="E1" s="272"/>
      <c r="F1" s="272"/>
      <c r="G1" s="272"/>
      <c r="H1" s="272"/>
    </row>
    <row r="2" spans="1:8" x14ac:dyDescent="0.25">
      <c r="A2" s="266"/>
      <c r="B2" s="266"/>
      <c r="C2" s="266"/>
      <c r="D2" s="266"/>
      <c r="E2" s="266"/>
      <c r="F2" s="266"/>
      <c r="G2" s="266"/>
      <c r="H2" s="266"/>
    </row>
    <row r="3" spans="1:8" ht="16.5" x14ac:dyDescent="0.25">
      <c r="A3" s="321" t="s">
        <v>1015</v>
      </c>
      <c r="B3" s="266"/>
      <c r="C3" s="266"/>
      <c r="D3" s="271"/>
      <c r="E3" s="266"/>
      <c r="F3" s="266"/>
      <c r="G3" s="266"/>
      <c r="H3" s="266"/>
    </row>
    <row r="4" spans="1:8" x14ac:dyDescent="0.25">
      <c r="A4" s="266"/>
      <c r="B4" s="266"/>
      <c r="C4" s="266"/>
      <c r="D4" s="259"/>
      <c r="E4" s="266"/>
      <c r="F4" s="266"/>
      <c r="G4" s="266"/>
      <c r="H4" s="266"/>
    </row>
    <row r="5" spans="1:8" ht="18.75" customHeight="1" x14ac:dyDescent="0.25">
      <c r="A5" s="322" t="s">
        <v>1100</v>
      </c>
      <c r="B5" s="259"/>
      <c r="C5" s="259"/>
      <c r="D5" s="259"/>
      <c r="E5" s="259"/>
      <c r="F5" s="259"/>
      <c r="G5" s="259"/>
      <c r="H5" s="259"/>
    </row>
    <row r="6" spans="1:8" x14ac:dyDescent="0.25">
      <c r="A6" s="259"/>
      <c r="B6" s="259"/>
      <c r="C6" s="272"/>
      <c r="D6" s="249"/>
      <c r="E6" s="259"/>
      <c r="F6" s="259"/>
      <c r="G6" s="259"/>
      <c r="H6" s="259"/>
    </row>
    <row r="7" spans="1:8" ht="20.25" customHeight="1" x14ac:dyDescent="0.25">
      <c r="A7" s="427" t="s">
        <v>64</v>
      </c>
      <c r="B7" s="427"/>
      <c r="C7" s="427"/>
      <c r="D7" s="427"/>
      <c r="E7" s="427"/>
      <c r="F7" s="427"/>
      <c r="G7" s="427"/>
      <c r="H7" s="427"/>
    </row>
    <row r="8" spans="1:8" ht="66" customHeight="1" x14ac:dyDescent="0.25">
      <c r="A8" s="428" t="s">
        <v>1064</v>
      </c>
      <c r="B8" s="428"/>
      <c r="C8" s="428"/>
      <c r="D8" s="428"/>
      <c r="E8" s="428"/>
      <c r="F8" s="428"/>
      <c r="G8" s="428"/>
      <c r="H8" s="428"/>
    </row>
    <row r="9" spans="1:8" ht="12.75" customHeight="1" x14ac:dyDescent="0.25">
      <c r="A9" s="429" t="s">
        <v>222</v>
      </c>
      <c r="B9" s="429"/>
      <c r="C9" s="429"/>
      <c r="D9" s="429"/>
      <c r="E9" s="429"/>
      <c r="F9" s="429"/>
      <c r="G9" s="429"/>
      <c r="H9" s="429"/>
    </row>
    <row r="10" spans="1:8" ht="12.75" customHeight="1" x14ac:dyDescent="0.25">
      <c r="A10" s="430" t="s">
        <v>196</v>
      </c>
      <c r="B10" s="432" t="s">
        <v>46</v>
      </c>
      <c r="C10" s="430" t="s">
        <v>47</v>
      </c>
      <c r="D10" s="434" t="s">
        <v>48</v>
      </c>
      <c r="E10" s="435"/>
      <c r="F10" s="435"/>
      <c r="G10" s="436"/>
      <c r="H10" s="430" t="s">
        <v>197</v>
      </c>
    </row>
    <row r="11" spans="1:8" ht="72" customHeight="1" x14ac:dyDescent="0.25">
      <c r="A11" s="431"/>
      <c r="B11" s="433"/>
      <c r="C11" s="431"/>
      <c r="D11" s="323" t="s">
        <v>5</v>
      </c>
      <c r="E11" s="323" t="s">
        <v>6</v>
      </c>
      <c r="F11" s="323" t="s">
        <v>198</v>
      </c>
      <c r="G11" s="323" t="s">
        <v>8</v>
      </c>
      <c r="H11" s="431"/>
    </row>
    <row r="12" spans="1:8" x14ac:dyDescent="0.25">
      <c r="A12" s="324">
        <v>1</v>
      </c>
      <c r="B12" s="325">
        <v>2</v>
      </c>
      <c r="C12" s="324">
        <v>3</v>
      </c>
      <c r="D12" s="324">
        <v>4</v>
      </c>
      <c r="E12" s="324">
        <v>5</v>
      </c>
      <c r="F12" s="324">
        <v>6</v>
      </c>
      <c r="G12" s="324">
        <v>7</v>
      </c>
      <c r="H12" s="324">
        <v>8</v>
      </c>
    </row>
    <row r="13" spans="1:8" ht="32.25" customHeight="1" x14ac:dyDescent="0.25">
      <c r="A13" s="324"/>
      <c r="B13" s="325"/>
      <c r="C13" s="326" t="s">
        <v>199</v>
      </c>
      <c r="D13" s="327"/>
      <c r="E13" s="327"/>
      <c r="F13" s="327"/>
      <c r="G13" s="327"/>
      <c r="H13" s="327"/>
    </row>
    <row r="14" spans="1:8" x14ac:dyDescent="0.25">
      <c r="A14" s="324"/>
      <c r="B14" s="364"/>
      <c r="C14" s="329"/>
      <c r="D14" s="365"/>
      <c r="E14" s="365"/>
      <c r="F14" s="365"/>
      <c r="G14" s="365"/>
      <c r="H14" s="365"/>
    </row>
    <row r="15" spans="1:8" ht="15.75" customHeight="1" x14ac:dyDescent="0.25">
      <c r="A15" s="324"/>
      <c r="B15" s="325"/>
      <c r="C15" s="332" t="s">
        <v>200</v>
      </c>
      <c r="D15" s="365"/>
      <c r="E15" s="365"/>
      <c r="F15" s="365"/>
      <c r="G15" s="365"/>
      <c r="H15" s="365"/>
    </row>
    <row r="16" spans="1:8" ht="30" x14ac:dyDescent="0.25">
      <c r="A16" s="333"/>
      <c r="B16" s="366"/>
      <c r="C16" s="326" t="s">
        <v>201</v>
      </c>
      <c r="D16" s="365"/>
      <c r="E16" s="365"/>
      <c r="F16" s="365"/>
      <c r="G16" s="365"/>
      <c r="H16" s="365"/>
    </row>
    <row r="17" spans="1:8" ht="18" customHeight="1" x14ac:dyDescent="0.25">
      <c r="A17" s="336">
        <v>1</v>
      </c>
      <c r="B17" s="337" t="s">
        <v>70</v>
      </c>
      <c r="C17" s="367" t="s">
        <v>339</v>
      </c>
      <c r="D17" s="368">
        <f>'В текущих ценах'!D17/8.09</f>
        <v>21.711893695920889</v>
      </c>
      <c r="E17" s="368">
        <f>'В текущих ценах'!E17/8.09</f>
        <v>6.2431409147095183</v>
      </c>
      <c r="F17" s="368">
        <f>'В текущих ценах'!F17/4.71</f>
        <v>302.1231422505308</v>
      </c>
      <c r="G17" s="368">
        <v>0</v>
      </c>
      <c r="H17" s="369">
        <f>SUM(D17:G17)</f>
        <v>330.07817686116118</v>
      </c>
    </row>
    <row r="18" spans="1:8" ht="18" customHeight="1" x14ac:dyDescent="0.25">
      <c r="A18" s="336">
        <v>2</v>
      </c>
      <c r="B18" s="337" t="s">
        <v>70</v>
      </c>
      <c r="C18" s="367" t="s">
        <v>340</v>
      </c>
      <c r="D18" s="368">
        <f>'В текущих ценах'!D18/5.43</f>
        <v>215.73475690607737</v>
      </c>
      <c r="E18" s="368"/>
      <c r="F18" s="368"/>
      <c r="G18" s="368"/>
      <c r="H18" s="369">
        <f>SUM(D18:G18)</f>
        <v>215.73475690607737</v>
      </c>
    </row>
    <row r="19" spans="1:8" ht="18" customHeight="1" x14ac:dyDescent="0.25">
      <c r="A19" s="336">
        <v>3</v>
      </c>
      <c r="B19" s="337" t="s">
        <v>70</v>
      </c>
      <c r="C19" s="367" t="s">
        <v>341</v>
      </c>
      <c r="D19" s="368">
        <f>'В текущих ценах'!D19/5.34</f>
        <v>66.409728464419473</v>
      </c>
      <c r="E19" s="368">
        <f>'В текущих ценах'!E19/5.34</f>
        <v>203.60435205992513</v>
      </c>
      <c r="F19" s="368"/>
      <c r="G19" s="368"/>
      <c r="H19" s="369">
        <f t="shared" ref="H19" si="0">SUM(D19:G19)</f>
        <v>270.01408052434459</v>
      </c>
    </row>
    <row r="20" spans="1:8" ht="18" customHeight="1" x14ac:dyDescent="0.25">
      <c r="A20" s="336"/>
      <c r="B20" s="370"/>
      <c r="C20" s="371" t="s">
        <v>223</v>
      </c>
      <c r="D20" s="368">
        <f>SUM(D17:D19)</f>
        <v>303.85637906641773</v>
      </c>
      <c r="E20" s="368">
        <f t="shared" ref="E20:G20" si="1">SUM(E17:E19)</f>
        <v>209.84749297463466</v>
      </c>
      <c r="F20" s="368">
        <f t="shared" si="1"/>
        <v>302.1231422505308</v>
      </c>
      <c r="G20" s="368">
        <f t="shared" si="1"/>
        <v>0</v>
      </c>
      <c r="H20" s="368">
        <f>SUM(D20:G20)</f>
        <v>815.82701429158317</v>
      </c>
    </row>
    <row r="21" spans="1:8" ht="29.25" customHeight="1" x14ac:dyDescent="0.25">
      <c r="A21" s="342"/>
      <c r="B21" s="372"/>
      <c r="C21" s="373" t="s">
        <v>203</v>
      </c>
      <c r="D21" s="368"/>
      <c r="E21" s="368"/>
      <c r="F21" s="368"/>
      <c r="G21" s="368"/>
      <c r="H21" s="374"/>
    </row>
    <row r="22" spans="1:8" ht="40.5" customHeight="1" x14ac:dyDescent="0.25">
      <c r="A22" s="336">
        <v>4</v>
      </c>
      <c r="B22" s="337" t="s">
        <v>1025</v>
      </c>
      <c r="C22" s="375" t="s">
        <v>88</v>
      </c>
      <c r="D22" s="368">
        <f>D20*2.5%</f>
        <v>7.596409476660444</v>
      </c>
      <c r="E22" s="368">
        <f>E20*2.5%</f>
        <v>5.2461873243658665</v>
      </c>
      <c r="F22" s="368"/>
      <c r="G22" s="368"/>
      <c r="H22" s="369">
        <f>SUM(D22:G22)</f>
        <v>12.842596801026311</v>
      </c>
    </row>
    <row r="23" spans="1:8" ht="18" customHeight="1" x14ac:dyDescent="0.25">
      <c r="A23" s="336"/>
      <c r="B23" s="337"/>
      <c r="C23" s="376" t="s">
        <v>204</v>
      </c>
      <c r="D23" s="368">
        <f>D15+D20+D22</f>
        <v>311.45278854307816</v>
      </c>
      <c r="E23" s="368">
        <f>E15+E20+E22</f>
        <v>215.09368029900054</v>
      </c>
      <c r="F23" s="368">
        <f>F20</f>
        <v>302.1231422505308</v>
      </c>
      <c r="G23" s="368">
        <f>G15+G20+G22</f>
        <v>0</v>
      </c>
      <c r="H23" s="377">
        <f>SUM(D23:G23)</f>
        <v>828.66961109260944</v>
      </c>
    </row>
    <row r="24" spans="1:8" ht="31.5" customHeight="1" x14ac:dyDescent="0.25">
      <c r="A24" s="342"/>
      <c r="B24" s="337"/>
      <c r="C24" s="373" t="s">
        <v>205</v>
      </c>
      <c r="D24" s="374"/>
      <c r="E24" s="374"/>
      <c r="F24" s="374"/>
      <c r="G24" s="374"/>
      <c r="H24" s="374"/>
    </row>
    <row r="25" spans="1:8" ht="32.25" customHeight="1" x14ac:dyDescent="0.25">
      <c r="A25" s="336">
        <v>5</v>
      </c>
      <c r="B25" s="349" t="s">
        <v>1028</v>
      </c>
      <c r="C25" s="375" t="s">
        <v>224</v>
      </c>
      <c r="D25" s="378">
        <f>D23*3.19%</f>
        <v>9.9353439545241926</v>
      </c>
      <c r="E25" s="378">
        <f>E23*3.52%</f>
        <v>7.5712975465248196</v>
      </c>
      <c r="F25" s="369"/>
      <c r="G25" s="369"/>
      <c r="H25" s="369">
        <f>SUM(D25:G25)</f>
        <v>17.50664150104901</v>
      </c>
    </row>
    <row r="26" spans="1:8" ht="29.25" customHeight="1" x14ac:dyDescent="0.25">
      <c r="A26" s="336">
        <v>6</v>
      </c>
      <c r="B26" s="349" t="s">
        <v>81</v>
      </c>
      <c r="C26" s="371" t="s">
        <v>58</v>
      </c>
      <c r="D26" s="378"/>
      <c r="E26" s="378"/>
      <c r="F26" s="369"/>
      <c r="G26" s="369">
        <f>(D23+E23+H25)*2.7%</f>
        <v>14.689433979264448</v>
      </c>
      <c r="H26" s="369">
        <f>SUM(D26:G26)</f>
        <v>14.689433979264448</v>
      </c>
    </row>
    <row r="27" spans="1:8" ht="29.25" customHeight="1" x14ac:dyDescent="0.25">
      <c r="A27" s="336">
        <v>7</v>
      </c>
      <c r="B27" s="337" t="s">
        <v>70</v>
      </c>
      <c r="C27" s="371" t="s">
        <v>1023</v>
      </c>
      <c r="D27" s="378"/>
      <c r="E27" s="378"/>
      <c r="F27" s="369"/>
      <c r="G27" s="369">
        <f>'В текущих ценах'!G27/16.34</f>
        <v>0.79606976744186053</v>
      </c>
      <c r="H27" s="369">
        <f>SUM(D27:G27)</f>
        <v>0.79606976744186053</v>
      </c>
    </row>
    <row r="28" spans="1:8" ht="18" customHeight="1" x14ac:dyDescent="0.25">
      <c r="A28" s="336"/>
      <c r="B28" s="370"/>
      <c r="C28" s="379" t="s">
        <v>207</v>
      </c>
      <c r="D28" s="368">
        <f>SUM(D25:D26)</f>
        <v>9.9353439545241926</v>
      </c>
      <c r="E28" s="368">
        <f>SUM(E25:E26)</f>
        <v>7.5712975465248196</v>
      </c>
      <c r="F28" s="368">
        <f>SUM(F25:F26)</f>
        <v>0</v>
      </c>
      <c r="G28" s="368">
        <f>SUM(G25:G27)</f>
        <v>15.485503746706309</v>
      </c>
      <c r="H28" s="369">
        <f>SUM(D28:G28)</f>
        <v>32.992145247755317</v>
      </c>
    </row>
    <row r="29" spans="1:8" ht="18" customHeight="1" x14ac:dyDescent="0.25">
      <c r="A29" s="336"/>
      <c r="B29" s="370"/>
      <c r="C29" s="376" t="s">
        <v>208</v>
      </c>
      <c r="D29" s="368">
        <f>D23+D28</f>
        <v>321.38813249760233</v>
      </c>
      <c r="E29" s="368">
        <f>E23+E28</f>
        <v>222.66497784552536</v>
      </c>
      <c r="F29" s="368">
        <f>F20</f>
        <v>302.1231422505308</v>
      </c>
      <c r="G29" s="368">
        <f>G15+G28</f>
        <v>15.485503746706309</v>
      </c>
      <c r="H29" s="368">
        <f>SUM(D29:G29)</f>
        <v>861.66175634036472</v>
      </c>
    </row>
    <row r="30" spans="1:8" ht="56.25" customHeight="1" x14ac:dyDescent="0.25">
      <c r="A30" s="342"/>
      <c r="B30" s="372"/>
      <c r="C30" s="373" t="s">
        <v>209</v>
      </c>
      <c r="D30" s="374"/>
      <c r="E30" s="374"/>
      <c r="F30" s="374"/>
      <c r="G30" s="374"/>
      <c r="H30" s="374"/>
    </row>
    <row r="31" spans="1:8" ht="42" customHeight="1" x14ac:dyDescent="0.25">
      <c r="A31" s="336">
        <v>8</v>
      </c>
      <c r="B31" s="349" t="s">
        <v>82</v>
      </c>
      <c r="C31" s="380" t="s">
        <v>210</v>
      </c>
      <c r="D31" s="369"/>
      <c r="E31" s="369"/>
      <c r="F31" s="369"/>
      <c r="G31" s="369">
        <f>H29*2.14%</f>
        <v>18.439561585683808</v>
      </c>
      <c r="H31" s="369">
        <f>SUM(D31:G31)</f>
        <v>18.439561585683808</v>
      </c>
    </row>
    <row r="32" spans="1:8" ht="47.25" customHeight="1" x14ac:dyDescent="0.25">
      <c r="A32" s="336">
        <v>9</v>
      </c>
      <c r="B32" s="349" t="s">
        <v>82</v>
      </c>
      <c r="C32" s="381" t="s">
        <v>211</v>
      </c>
      <c r="D32" s="369"/>
      <c r="E32" s="369"/>
      <c r="F32" s="369"/>
      <c r="G32" s="369">
        <f>(H29+G35)*4.36%</f>
        <v>40.116101032496907</v>
      </c>
      <c r="H32" s="369">
        <f>G32</f>
        <v>40.116101032496907</v>
      </c>
    </row>
    <row r="33" spans="1:8" ht="18" customHeight="1" x14ac:dyDescent="0.25">
      <c r="A33" s="336"/>
      <c r="B33" s="382"/>
      <c r="C33" s="376" t="s">
        <v>212</v>
      </c>
      <c r="D33" s="369"/>
      <c r="E33" s="369"/>
      <c r="F33" s="369"/>
      <c r="G33" s="369">
        <f>G31+G32</f>
        <v>58.555662618180719</v>
      </c>
      <c r="H33" s="369">
        <f>G33</f>
        <v>58.555662618180719</v>
      </c>
    </row>
    <row r="34" spans="1:8" ht="27" customHeight="1" x14ac:dyDescent="0.25">
      <c r="A34" s="342"/>
      <c r="B34" s="372"/>
      <c r="C34" s="373" t="s">
        <v>213</v>
      </c>
      <c r="D34" s="374"/>
      <c r="E34" s="374"/>
      <c r="F34" s="374"/>
      <c r="G34" s="374"/>
      <c r="H34" s="374"/>
    </row>
    <row r="35" spans="1:8" ht="33.75" customHeight="1" x14ac:dyDescent="0.25">
      <c r="A35" s="355">
        <v>10</v>
      </c>
      <c r="B35" s="383" t="s">
        <v>342</v>
      </c>
      <c r="C35" s="384" t="s">
        <v>214</v>
      </c>
      <c r="D35" s="385"/>
      <c r="E35" s="385"/>
      <c r="F35" s="385"/>
      <c r="G35" s="385">
        <f>'[1]CCР тек'!G35/4.21</f>
        <v>58.432304038004752</v>
      </c>
      <c r="H35" s="385">
        <f>G35</f>
        <v>58.432304038004752</v>
      </c>
    </row>
    <row r="36" spans="1:8" ht="18" customHeight="1" x14ac:dyDescent="0.25">
      <c r="A36" s="336"/>
      <c r="B36" s="370"/>
      <c r="C36" s="386" t="s">
        <v>215</v>
      </c>
      <c r="D36" s="368">
        <f>SUM(D35)</f>
        <v>0</v>
      </c>
      <c r="E36" s="368">
        <f>SUM(E35)</f>
        <v>0</v>
      </c>
      <c r="F36" s="368">
        <f>SUM(F35)</f>
        <v>0</v>
      </c>
      <c r="G36" s="368">
        <f>SUM(G35)</f>
        <v>58.432304038004752</v>
      </c>
      <c r="H36" s="368">
        <f>SUM(H35)</f>
        <v>58.432304038004752</v>
      </c>
    </row>
    <row r="37" spans="1:8" ht="18" customHeight="1" x14ac:dyDescent="0.25">
      <c r="A37" s="336"/>
      <c r="B37" s="370"/>
      <c r="C37" s="386" t="s">
        <v>216</v>
      </c>
      <c r="D37" s="368">
        <f>D29+D36</f>
        <v>321.38813249760233</v>
      </c>
      <c r="E37" s="368">
        <f>E29+E36</f>
        <v>222.66497784552536</v>
      </c>
      <c r="F37" s="368">
        <f>F29+F36</f>
        <v>302.1231422505308</v>
      </c>
      <c r="G37" s="368">
        <f>G36+G33+G29</f>
        <v>132.47347040289179</v>
      </c>
      <c r="H37" s="368">
        <f>SUM(D37:G37)</f>
        <v>978.64972299655028</v>
      </c>
    </row>
    <row r="38" spans="1:8" ht="28.5" x14ac:dyDescent="0.25">
      <c r="A38" s="336">
        <v>11</v>
      </c>
      <c r="B38" s="387" t="s">
        <v>83</v>
      </c>
      <c r="C38" s="388" t="s">
        <v>217</v>
      </c>
      <c r="D38" s="369">
        <f>ROUND(D37*3%,3)</f>
        <v>9.6419999999999995</v>
      </c>
      <c r="E38" s="369">
        <f>ROUND(E37*3%,3)</f>
        <v>6.68</v>
      </c>
      <c r="F38" s="369">
        <f>ROUND(F37*3%,3)</f>
        <v>9.0640000000000001</v>
      </c>
      <c r="G38" s="369">
        <f>(G37-G36)*0.03</f>
        <v>2.2212349909466109</v>
      </c>
      <c r="H38" s="369">
        <f>SUM(D38:G38)</f>
        <v>27.607234990946608</v>
      </c>
    </row>
    <row r="39" spans="1:8" x14ac:dyDescent="0.25">
      <c r="A39" s="342"/>
      <c r="B39" s="389"/>
      <c r="C39" s="373" t="s">
        <v>218</v>
      </c>
      <c r="D39" s="390">
        <f>SUM(D37+D38)</f>
        <v>331.03013249760232</v>
      </c>
      <c r="E39" s="390">
        <f>SUM(E37+E38)</f>
        <v>229.34497784552536</v>
      </c>
      <c r="F39" s="390">
        <f>SUM(F37+F38)</f>
        <v>311.18714225053083</v>
      </c>
      <c r="G39" s="390">
        <f>SUM(G37+G38)</f>
        <v>134.6947053938384</v>
      </c>
      <c r="H39" s="390">
        <f>SUM(D39:G39)</f>
        <v>1006.2569579874969</v>
      </c>
    </row>
    <row r="40" spans="1:8" x14ac:dyDescent="0.25">
      <c r="A40" s="342"/>
      <c r="B40" s="389" t="s">
        <v>219</v>
      </c>
      <c r="C40" s="375" t="s">
        <v>220</v>
      </c>
      <c r="D40" s="368">
        <f>D39*0.2</f>
        <v>66.206026499520462</v>
      </c>
      <c r="E40" s="368">
        <f t="shared" ref="E40:F40" si="2">E39*0.2</f>
        <v>45.868995569105074</v>
      </c>
      <c r="F40" s="368">
        <f t="shared" si="2"/>
        <v>62.237428450106165</v>
      </c>
      <c r="G40" s="368">
        <f>(G39-G35)*0.2</f>
        <v>15.25248027116673</v>
      </c>
      <c r="H40" s="368">
        <f>SUM(D40:G40)</f>
        <v>189.56493078989843</v>
      </c>
    </row>
    <row r="41" spans="1:8" x14ac:dyDescent="0.25">
      <c r="A41" s="342"/>
      <c r="B41" s="389"/>
      <c r="C41" s="373" t="s">
        <v>221</v>
      </c>
      <c r="D41" s="390">
        <f>D39+D40</f>
        <v>397.2361589971228</v>
      </c>
      <c r="E41" s="390">
        <f t="shared" ref="E41:G41" si="3">E39+E40</f>
        <v>275.21397341463046</v>
      </c>
      <c r="F41" s="390">
        <f t="shared" si="3"/>
        <v>373.42457070063699</v>
      </c>
      <c r="G41" s="390">
        <f t="shared" si="3"/>
        <v>149.94718566500512</v>
      </c>
      <c r="H41" s="390">
        <f>SUM(D41:G41)</f>
        <v>1195.8218887773955</v>
      </c>
    </row>
    <row r="42" spans="1:8" x14ac:dyDescent="0.25">
      <c r="A42" s="273"/>
    </row>
    <row r="43" spans="1:8" x14ac:dyDescent="0.25">
      <c r="A43" s="274"/>
    </row>
    <row r="44" spans="1:8" x14ac:dyDescent="0.25">
      <c r="A44" s="274"/>
      <c r="B44" s="254"/>
      <c r="C44" s="255"/>
      <c r="D44" s="254"/>
      <c r="E44" s="254"/>
      <c r="F44" s="254"/>
      <c r="G44" s="254"/>
      <c r="H44" s="254"/>
    </row>
    <row r="45" spans="1:8" x14ac:dyDescent="0.25">
      <c r="A45" s="273"/>
      <c r="B45" s="256"/>
      <c r="C45" s="254"/>
      <c r="D45" s="254"/>
      <c r="E45" s="277"/>
      <c r="F45" s="254"/>
      <c r="G45" s="277"/>
      <c r="H45" s="254"/>
    </row>
    <row r="46" spans="1:8" x14ac:dyDescent="0.25">
      <c r="A46" s="274"/>
      <c r="B46" s="256"/>
      <c r="C46" s="254"/>
      <c r="D46" s="254"/>
      <c r="E46" s="254"/>
      <c r="F46" s="254"/>
      <c r="G46" s="254"/>
      <c r="H46" s="254"/>
    </row>
    <row r="47" spans="1:8" x14ac:dyDescent="0.25">
      <c r="A47" s="274"/>
      <c r="B47" s="254"/>
      <c r="C47" s="255"/>
      <c r="D47" s="254"/>
      <c r="E47" s="254"/>
      <c r="F47" s="254"/>
      <c r="G47" s="254"/>
      <c r="H47" s="254"/>
    </row>
    <row r="48" spans="1:8" x14ac:dyDescent="0.25">
      <c r="A48" s="274"/>
    </row>
    <row r="49" spans="1:10" x14ac:dyDescent="0.25">
      <c r="A49" s="274"/>
    </row>
    <row r="50" spans="1:10" x14ac:dyDescent="0.25">
      <c r="A50" s="273"/>
    </row>
    <row r="51" spans="1:10" x14ac:dyDescent="0.25">
      <c r="A51" s="274"/>
    </row>
    <row r="52" spans="1:10" x14ac:dyDescent="0.25">
      <c r="A52" s="274"/>
    </row>
    <row r="53" spans="1:10" ht="12.75" customHeight="1" x14ac:dyDescent="0.25">
      <c r="A53" s="274"/>
    </row>
    <row r="54" spans="1:10" ht="28.5" customHeight="1" x14ac:dyDescent="0.25">
      <c r="A54" s="273"/>
    </row>
    <row r="55" spans="1:10" ht="31.5" customHeight="1" x14ac:dyDescent="0.25">
      <c r="A55" s="275"/>
    </row>
    <row r="56" spans="1:10" x14ac:dyDescent="0.25">
      <c r="A56" s="274"/>
    </row>
    <row r="57" spans="1:10" x14ac:dyDescent="0.25">
      <c r="A57" s="274"/>
    </row>
    <row r="58" spans="1:10" x14ac:dyDescent="0.25">
      <c r="A58" s="274"/>
    </row>
    <row r="59" spans="1:10" x14ac:dyDescent="0.25">
      <c r="A59" s="273"/>
      <c r="J59" s="253"/>
    </row>
    <row r="60" spans="1:10" x14ac:dyDescent="0.25">
      <c r="A60" s="273"/>
    </row>
    <row r="61" spans="1:10" x14ac:dyDescent="0.25">
      <c r="A61" s="273"/>
    </row>
    <row r="62" spans="1:10" x14ac:dyDescent="0.25">
      <c r="A62" s="276"/>
    </row>
    <row r="63" spans="1:10" x14ac:dyDescent="0.25">
      <c r="A63" s="276"/>
    </row>
    <row r="64" spans="1:10" x14ac:dyDescent="0.25">
      <c r="A64" s="254"/>
    </row>
    <row r="65" spans="1:1" x14ac:dyDescent="0.25">
      <c r="A65" s="254"/>
    </row>
  </sheetData>
  <mergeCells count="8">
    <mergeCell ref="A7:H7"/>
    <mergeCell ref="A8:H8"/>
    <mergeCell ref="A9:H9"/>
    <mergeCell ref="A10:A11"/>
    <mergeCell ref="B10:B11"/>
    <mergeCell ref="C10:C11"/>
    <mergeCell ref="D10:G10"/>
    <mergeCell ref="H10:H11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tabSelected="1" view="pageBreakPreview" zoomScale="80" zoomScaleNormal="100" zoomScaleSheetLayoutView="80" workbookViewId="0">
      <selection activeCell="P33" sqref="P33"/>
    </sheetView>
  </sheetViews>
  <sheetFormatPr defaultRowHeight="12.75" x14ac:dyDescent="0.2"/>
  <cols>
    <col min="1" max="1" width="5" style="1" customWidth="1"/>
    <col min="2" max="2" width="21" style="1" customWidth="1"/>
    <col min="3" max="3" width="41.28515625" style="1" customWidth="1"/>
    <col min="4" max="4" width="12" style="1" customWidth="1"/>
    <col min="5" max="6" width="10.42578125" style="1" customWidth="1"/>
    <col min="7" max="7" width="13.28515625" style="1" customWidth="1"/>
    <col min="8" max="8" width="10.42578125" style="1" customWidth="1"/>
    <col min="9" max="9" width="11" style="8" customWidth="1"/>
    <col min="10" max="13" width="10.42578125" style="8" customWidth="1"/>
    <col min="14" max="14" width="13" style="1" customWidth="1"/>
    <col min="15" max="15" width="13.7109375" style="1" customWidth="1"/>
    <col min="16" max="16" width="11.85546875" style="1" customWidth="1"/>
    <col min="17" max="17" width="11.7109375" style="1" bestFit="1" customWidth="1"/>
    <col min="18" max="18" width="15" style="1" customWidth="1"/>
    <col min="19" max="19" width="10.42578125" style="18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46" width="9.140625" style="1" hidden="1" customWidth="1"/>
    <col min="47" max="47" width="17.5703125" style="1" hidden="1" customWidth="1"/>
    <col min="48" max="48" width="10.85546875" style="1" hidden="1" customWidth="1"/>
    <col min="49" max="49" width="11.85546875" style="1" hidden="1" customWidth="1"/>
    <col min="50" max="50" width="9.140625" style="1" hidden="1" customWidth="1"/>
    <col min="51" max="51" width="10.85546875" style="1" hidden="1" customWidth="1"/>
    <col min="52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15" x14ac:dyDescent="0.25">
      <c r="A1" s="489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90" t="s">
        <v>0</v>
      </c>
      <c r="O1" s="491"/>
      <c r="P1" s="491"/>
      <c r="Q1" s="491"/>
      <c r="R1" s="491"/>
    </row>
    <row r="2" spans="1:20" ht="16.5" customHeight="1" x14ac:dyDescent="0.2">
      <c r="A2" s="489"/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92" t="s">
        <v>63</v>
      </c>
      <c r="O2" s="492"/>
      <c r="P2" s="492"/>
      <c r="Q2" s="492"/>
      <c r="R2" s="492"/>
    </row>
    <row r="3" spans="1:20" ht="24" customHeight="1" x14ac:dyDescent="0.2">
      <c r="A3" s="493"/>
      <c r="B3" s="494"/>
      <c r="C3" s="495"/>
      <c r="D3" s="496"/>
      <c r="E3" s="496"/>
      <c r="F3" s="496"/>
      <c r="G3" s="496"/>
      <c r="H3" s="496"/>
      <c r="I3" s="2"/>
      <c r="J3" s="2"/>
      <c r="K3" s="2"/>
      <c r="L3" s="2"/>
      <c r="M3" s="2"/>
      <c r="N3" s="492"/>
      <c r="O3" s="492"/>
      <c r="P3" s="492"/>
      <c r="Q3" s="492"/>
      <c r="R3" s="492"/>
    </row>
    <row r="4" spans="1:20" ht="10.5" customHeight="1" x14ac:dyDescent="0.2">
      <c r="A4" s="493"/>
      <c r="B4" s="494"/>
      <c r="C4" s="497"/>
      <c r="D4" s="498"/>
      <c r="E4" s="498"/>
      <c r="F4" s="498"/>
      <c r="G4" s="498"/>
      <c r="H4" s="498"/>
      <c r="I4" s="3"/>
      <c r="J4" s="3"/>
      <c r="K4" s="3"/>
      <c r="L4" s="3"/>
      <c r="M4" s="3"/>
      <c r="N4" s="492"/>
      <c r="O4" s="492"/>
      <c r="P4" s="492"/>
      <c r="Q4" s="492"/>
      <c r="R4" s="492"/>
    </row>
    <row r="5" spans="1:20" ht="39.75" customHeight="1" x14ac:dyDescent="0.25">
      <c r="A5" s="4"/>
      <c r="B5" s="5"/>
      <c r="C5" s="5"/>
      <c r="D5" s="5"/>
      <c r="E5" s="5"/>
      <c r="F5" s="5"/>
      <c r="G5" s="162" t="s">
        <v>1057</v>
      </c>
      <c r="H5" s="5"/>
      <c r="I5" s="6"/>
      <c r="J5" s="6"/>
      <c r="K5" s="6"/>
      <c r="L5" s="6"/>
      <c r="M5" s="6"/>
      <c r="N5" s="467" t="s">
        <v>1029</v>
      </c>
      <c r="O5" s="468"/>
      <c r="P5" s="468"/>
      <c r="Q5" s="468"/>
      <c r="R5" s="468"/>
      <c r="S5" s="19"/>
    </row>
    <row r="6" spans="1:20" ht="15" customHeight="1" x14ac:dyDescent="0.25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143"/>
      <c r="S6" s="20"/>
    </row>
    <row r="7" spans="1:20" ht="36.75" customHeight="1" x14ac:dyDescent="0.25">
      <c r="A7" s="469" t="s">
        <v>1065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69"/>
      <c r="P7" s="469"/>
      <c r="Q7" s="469"/>
      <c r="R7" s="469"/>
      <c r="S7" s="20"/>
    </row>
    <row r="8" spans="1:20" ht="13.5" thickBot="1" x14ac:dyDescent="0.25">
      <c r="A8" s="470"/>
      <c r="B8" s="470"/>
      <c r="C8" s="470"/>
      <c r="D8" s="470"/>
      <c r="E8" s="470"/>
      <c r="F8" s="470"/>
      <c r="G8" s="470"/>
      <c r="H8" s="470"/>
      <c r="I8" s="7"/>
      <c r="J8" s="7"/>
      <c r="K8" s="7"/>
      <c r="L8" s="7"/>
      <c r="M8" s="7"/>
    </row>
    <row r="9" spans="1:20" ht="76.5" customHeight="1" x14ac:dyDescent="0.2">
      <c r="A9" s="471" t="s">
        <v>1</v>
      </c>
      <c r="B9" s="473" t="s">
        <v>2</v>
      </c>
      <c r="C9" s="475" t="s">
        <v>3</v>
      </c>
      <c r="D9" s="477" t="s">
        <v>343</v>
      </c>
      <c r="E9" s="478"/>
      <c r="F9" s="478"/>
      <c r="G9" s="478"/>
      <c r="H9" s="479"/>
      <c r="I9" s="480" t="s">
        <v>4</v>
      </c>
      <c r="J9" s="481"/>
      <c r="K9" s="481"/>
      <c r="L9" s="481"/>
      <c r="M9" s="482"/>
      <c r="N9" s="483" t="s">
        <v>1013</v>
      </c>
      <c r="O9" s="484"/>
      <c r="P9" s="484"/>
      <c r="Q9" s="484"/>
      <c r="R9" s="485"/>
      <c r="S9" s="402"/>
      <c r="T9" s="13"/>
    </row>
    <row r="10" spans="1:20" ht="69" customHeight="1" x14ac:dyDescent="0.2">
      <c r="A10" s="472"/>
      <c r="B10" s="474"/>
      <c r="C10" s="476"/>
      <c r="D10" s="80" t="s">
        <v>5</v>
      </c>
      <c r="E10" s="37" t="s">
        <v>6</v>
      </c>
      <c r="F10" s="37" t="s">
        <v>7</v>
      </c>
      <c r="G10" s="37" t="s">
        <v>8</v>
      </c>
      <c r="H10" s="81" t="s">
        <v>9</v>
      </c>
      <c r="I10" s="94" t="s">
        <v>5</v>
      </c>
      <c r="J10" s="38" t="s">
        <v>6</v>
      </c>
      <c r="K10" s="38" t="s">
        <v>7</v>
      </c>
      <c r="L10" s="38" t="s">
        <v>8</v>
      </c>
      <c r="M10" s="95" t="s">
        <v>9</v>
      </c>
      <c r="N10" s="94" t="s">
        <v>5</v>
      </c>
      <c r="O10" s="38" t="s">
        <v>6</v>
      </c>
      <c r="P10" s="38" t="s">
        <v>7</v>
      </c>
      <c r="Q10" s="38" t="s">
        <v>8</v>
      </c>
      <c r="R10" s="95" t="s">
        <v>9</v>
      </c>
      <c r="S10" s="14"/>
      <c r="T10" s="12"/>
    </row>
    <row r="11" spans="1:20" x14ac:dyDescent="0.2">
      <c r="A11" s="39">
        <v>1</v>
      </c>
      <c r="B11" s="40">
        <v>2</v>
      </c>
      <c r="C11" s="71">
        <v>3</v>
      </c>
      <c r="D11" s="82">
        <v>4</v>
      </c>
      <c r="E11" s="41">
        <v>5</v>
      </c>
      <c r="F11" s="41">
        <v>6</v>
      </c>
      <c r="G11" s="41">
        <v>7</v>
      </c>
      <c r="H11" s="83">
        <v>8</v>
      </c>
      <c r="I11" s="96">
        <v>9</v>
      </c>
      <c r="J11" s="43">
        <v>10</v>
      </c>
      <c r="K11" s="43">
        <v>11</v>
      </c>
      <c r="L11" s="43">
        <v>12</v>
      </c>
      <c r="M11" s="97">
        <v>13</v>
      </c>
      <c r="N11" s="96">
        <v>27</v>
      </c>
      <c r="O11" s="43">
        <v>28</v>
      </c>
      <c r="P11" s="43">
        <v>29</v>
      </c>
      <c r="Q11" s="43">
        <v>30</v>
      </c>
      <c r="R11" s="97">
        <v>31</v>
      </c>
      <c r="S11" s="15"/>
    </row>
    <row r="12" spans="1:20" ht="15.75" customHeight="1" x14ac:dyDescent="0.2">
      <c r="A12" s="486" t="s">
        <v>10</v>
      </c>
      <c r="B12" s="487"/>
      <c r="C12" s="488"/>
      <c r="D12" s="82"/>
      <c r="E12" s="41"/>
      <c r="F12" s="41"/>
      <c r="G12" s="41"/>
      <c r="H12" s="83"/>
      <c r="I12" s="82"/>
      <c r="J12" s="41"/>
      <c r="K12" s="41"/>
      <c r="L12" s="41"/>
      <c r="M12" s="83"/>
      <c r="N12" s="98"/>
      <c r="O12" s="42"/>
      <c r="P12" s="42"/>
      <c r="Q12" s="33"/>
      <c r="R12" s="206"/>
      <c r="S12" s="16"/>
    </row>
    <row r="13" spans="1:20" s="25" customFormat="1" ht="16.5" customHeight="1" x14ac:dyDescent="0.2">
      <c r="A13" s="44"/>
      <c r="B13" s="261"/>
      <c r="C13" s="262"/>
      <c r="D13" s="101"/>
      <c r="E13" s="102"/>
      <c r="F13" s="102"/>
      <c r="G13" s="212">
        <v>0</v>
      </c>
      <c r="H13" s="213">
        <f>G13</f>
        <v>0</v>
      </c>
      <c r="I13" s="214"/>
      <c r="J13" s="215"/>
      <c r="K13" s="215"/>
      <c r="L13" s="215">
        <v>0</v>
      </c>
      <c r="M13" s="216">
        <f>L13</f>
        <v>0</v>
      </c>
      <c r="N13" s="217"/>
      <c r="O13" s="218"/>
      <c r="P13" s="218"/>
      <c r="Q13" s="219">
        <f>L13*3.42</f>
        <v>0</v>
      </c>
      <c r="R13" s="220">
        <f>Q13</f>
        <v>0</v>
      </c>
      <c r="S13" s="29"/>
    </row>
    <row r="14" spans="1:20" s="25" customFormat="1" x14ac:dyDescent="0.2">
      <c r="A14" s="45"/>
      <c r="B14" s="46"/>
      <c r="C14" s="72" t="s">
        <v>11</v>
      </c>
      <c r="D14" s="101"/>
      <c r="E14" s="102"/>
      <c r="F14" s="102"/>
      <c r="G14" s="212">
        <f>G13</f>
        <v>0</v>
      </c>
      <c r="H14" s="213">
        <f>SUM(D14:G14)</f>
        <v>0</v>
      </c>
      <c r="I14" s="214"/>
      <c r="J14" s="215"/>
      <c r="K14" s="215"/>
      <c r="L14" s="215">
        <f>L13</f>
        <v>0</v>
      </c>
      <c r="M14" s="216">
        <f>M13</f>
        <v>0</v>
      </c>
      <c r="N14" s="221"/>
      <c r="O14" s="215"/>
      <c r="P14" s="215"/>
      <c r="Q14" s="215">
        <f>Q13</f>
        <v>0</v>
      </c>
      <c r="R14" s="222">
        <f>Q14</f>
        <v>0</v>
      </c>
      <c r="S14" s="30"/>
    </row>
    <row r="15" spans="1:20" s="25" customFormat="1" ht="15.75" customHeight="1" x14ac:dyDescent="0.2">
      <c r="A15" s="464" t="s">
        <v>12</v>
      </c>
      <c r="B15" s="465"/>
      <c r="C15" s="466"/>
      <c r="D15" s="103"/>
      <c r="E15" s="104"/>
      <c r="F15" s="104"/>
      <c r="G15" s="104"/>
      <c r="H15" s="105"/>
      <c r="I15" s="136"/>
      <c r="J15" s="260"/>
      <c r="K15" s="260"/>
      <c r="L15" s="260"/>
      <c r="M15" s="84"/>
      <c r="N15" s="137"/>
      <c r="O15" s="138"/>
      <c r="P15" s="138"/>
      <c r="Q15" s="138"/>
      <c r="R15" s="207"/>
      <c r="S15" s="31"/>
    </row>
    <row r="16" spans="1:20" s="25" customFormat="1" ht="15.75" customHeight="1" x14ac:dyDescent="0.2">
      <c r="A16" s="47">
        <v>1</v>
      </c>
      <c r="B16" s="261" t="s">
        <v>70</v>
      </c>
      <c r="C16" s="316" t="s">
        <v>1031</v>
      </c>
      <c r="D16" s="116">
        <f>'В текущих ценах'!D17</f>
        <v>175.64921999999999</v>
      </c>
      <c r="E16" s="116">
        <f>'В текущих ценах'!E17</f>
        <v>50.507010000000001</v>
      </c>
      <c r="F16" s="116">
        <f>'В текущих ценах'!F17</f>
        <v>1423</v>
      </c>
      <c r="G16" s="239"/>
      <c r="H16" s="117">
        <f>SUM(D16:G16)</f>
        <v>1649.1562300000001</v>
      </c>
      <c r="I16" s="199">
        <f>D16/8.09</f>
        <v>21.711893695920889</v>
      </c>
      <c r="J16" s="116">
        <f>E16/8.09</f>
        <v>6.2431409147095183</v>
      </c>
      <c r="K16" s="239">
        <f>F16/4.71</f>
        <v>302.1231422505308</v>
      </c>
      <c r="L16" s="260"/>
      <c r="M16" s="117">
        <f>SUM(I16:L16)</f>
        <v>330.07817686116118</v>
      </c>
      <c r="N16" s="145">
        <f>I16*7.56</f>
        <v>164.1419163411619</v>
      </c>
      <c r="O16" s="146">
        <f>J16*7.56</f>
        <v>47.198145315203959</v>
      </c>
      <c r="P16" s="146">
        <f>K16*4.44</f>
        <v>1341.4267515923568</v>
      </c>
      <c r="Q16" s="138"/>
      <c r="R16" s="223">
        <f>N16+O16+P16</f>
        <v>1552.7668132487227</v>
      </c>
      <c r="S16" s="31"/>
    </row>
    <row r="17" spans="1:19" s="25" customFormat="1" ht="15.75" customHeight="1" x14ac:dyDescent="0.2">
      <c r="A17" s="47">
        <v>2</v>
      </c>
      <c r="B17" s="261" t="s">
        <v>70</v>
      </c>
      <c r="C17" s="262" t="s">
        <v>225</v>
      </c>
      <c r="D17" s="199">
        <f>'В текущих ценах'!D18</f>
        <v>1171.4397300000001</v>
      </c>
      <c r="E17" s="116"/>
      <c r="F17" s="116"/>
      <c r="G17" s="239"/>
      <c r="H17" s="117">
        <f>SUM(D17:G17)</f>
        <v>1171.4397300000001</v>
      </c>
      <c r="I17" s="199">
        <f>D17/5.43</f>
        <v>215.73475690607737</v>
      </c>
      <c r="J17" s="116"/>
      <c r="K17" s="239"/>
      <c r="L17" s="260"/>
      <c r="M17" s="117">
        <f>SUM(I17:L17)</f>
        <v>215.73475690607737</v>
      </c>
      <c r="N17" s="145">
        <f>I17*5.08</f>
        <v>1095.932565082873</v>
      </c>
      <c r="O17" s="146"/>
      <c r="P17" s="146"/>
      <c r="Q17" s="138"/>
      <c r="R17" s="223">
        <f>N17+O17+P17</f>
        <v>1095.932565082873</v>
      </c>
      <c r="S17" s="31"/>
    </row>
    <row r="18" spans="1:19" s="25" customFormat="1" ht="17.25" customHeight="1" x14ac:dyDescent="0.2">
      <c r="A18" s="47">
        <v>3</v>
      </c>
      <c r="B18" s="48" t="s">
        <v>70</v>
      </c>
      <c r="C18" s="73" t="s">
        <v>1032</v>
      </c>
      <c r="D18" s="199">
        <f>354627.95/1000</f>
        <v>354.62795</v>
      </c>
      <c r="E18" s="116">
        <f>'В текущих ценах'!E19</f>
        <v>1087.2472400000001</v>
      </c>
      <c r="F18" s="116"/>
      <c r="G18" s="116"/>
      <c r="H18" s="117">
        <f>SUM(D18:G18)</f>
        <v>1441.8751900000002</v>
      </c>
      <c r="I18" s="199">
        <f>D18/5.34</f>
        <v>66.409728464419473</v>
      </c>
      <c r="J18" s="116">
        <f>E18/5.34</f>
        <v>203.60435205992513</v>
      </c>
      <c r="K18" s="144"/>
      <c r="L18" s="116"/>
      <c r="M18" s="117">
        <f>I18+J18+K18</f>
        <v>270.01408052434459</v>
      </c>
      <c r="N18" s="145">
        <f>I18*4.99</f>
        <v>331.38454503745317</v>
      </c>
      <c r="O18" s="146">
        <f>J18*4.99</f>
        <v>1015.9857167790265</v>
      </c>
      <c r="P18" s="146"/>
      <c r="Q18" s="146"/>
      <c r="R18" s="223">
        <f>N18+O18+P18</f>
        <v>1347.3702618164796</v>
      </c>
      <c r="S18" s="24"/>
    </row>
    <row r="19" spans="1:19" s="25" customFormat="1" x14ac:dyDescent="0.2">
      <c r="A19" s="52"/>
      <c r="B19" s="53" t="s">
        <v>13</v>
      </c>
      <c r="C19" s="75" t="s">
        <v>14</v>
      </c>
      <c r="D19" s="113">
        <f>SUM(D16:D18)</f>
        <v>1701.7169000000001</v>
      </c>
      <c r="E19" s="54">
        <f>SUM(E16:E18)</f>
        <v>1137.7542500000002</v>
      </c>
      <c r="F19" s="257">
        <f>SUM(F16:F18)</f>
        <v>1423</v>
      </c>
      <c r="G19" s="54"/>
      <c r="H19" s="88">
        <f>SUM(D19:G19)</f>
        <v>4262.4711500000003</v>
      </c>
      <c r="I19" s="113">
        <f>SUM(I16:I18)</f>
        <v>303.85637906641773</v>
      </c>
      <c r="J19" s="54">
        <f>SUM(J16:J18)</f>
        <v>209.84749297463466</v>
      </c>
      <c r="K19" s="257">
        <f>SUM(K16:K18)</f>
        <v>302.1231422505308</v>
      </c>
      <c r="L19" s="54">
        <v>0</v>
      </c>
      <c r="M19" s="88">
        <f t="shared" ref="M19:M20" si="0">SUM(I19:L19)</f>
        <v>815.82701429158317</v>
      </c>
      <c r="N19" s="149">
        <f>SUM(N16:N18)</f>
        <v>1591.4590264614881</v>
      </c>
      <c r="O19" s="150">
        <f>SUM(O16:O18)</f>
        <v>1063.1838620942303</v>
      </c>
      <c r="P19" s="150">
        <f>SUM(P16:P18)</f>
        <v>1341.4267515923568</v>
      </c>
      <c r="Q19" s="150">
        <v>0</v>
      </c>
      <c r="R19" s="224">
        <f t="shared" ref="R19:R20" si="1">SUM(N19:Q19)</f>
        <v>3996.0696401480755</v>
      </c>
      <c r="S19" s="26"/>
    </row>
    <row r="20" spans="1:19" s="25" customFormat="1" x14ac:dyDescent="0.2">
      <c r="A20" s="52"/>
      <c r="B20" s="53"/>
      <c r="C20" s="76" t="s">
        <v>33</v>
      </c>
      <c r="D20" s="113">
        <f>D14+D19</f>
        <v>1701.7169000000001</v>
      </c>
      <c r="E20" s="54">
        <f>E14+E19</f>
        <v>1137.7542500000002</v>
      </c>
      <c r="F20" s="54">
        <f>F14+F19</f>
        <v>1423</v>
      </c>
      <c r="G20" s="54">
        <f>G14+G19</f>
        <v>0</v>
      </c>
      <c r="H20" s="88">
        <f>SUM(D20:G20)</f>
        <v>4262.4711500000003</v>
      </c>
      <c r="I20" s="113">
        <f>I14+I19</f>
        <v>303.85637906641773</v>
      </c>
      <c r="J20" s="54">
        <f>J14+J19</f>
        <v>209.84749297463466</v>
      </c>
      <c r="K20" s="54">
        <f>K14+K19</f>
        <v>302.1231422505308</v>
      </c>
      <c r="L20" s="54">
        <f>L14+L19</f>
        <v>0</v>
      </c>
      <c r="M20" s="88">
        <f t="shared" si="0"/>
        <v>815.82701429158317</v>
      </c>
      <c r="N20" s="149">
        <f>N14+N19</f>
        <v>1591.4590264614881</v>
      </c>
      <c r="O20" s="150">
        <f>O14+O19</f>
        <v>1063.1838620942303</v>
      </c>
      <c r="P20" s="150">
        <f>P14+P19</f>
        <v>1341.4267515923568</v>
      </c>
      <c r="Q20" s="150">
        <f>Q14+Q19</f>
        <v>0</v>
      </c>
      <c r="R20" s="224">
        <f t="shared" si="1"/>
        <v>3996.0696401480755</v>
      </c>
      <c r="S20" s="26"/>
    </row>
    <row r="21" spans="1:19" s="25" customFormat="1" ht="15.75" customHeight="1" x14ac:dyDescent="0.2">
      <c r="A21" s="464" t="s">
        <v>15</v>
      </c>
      <c r="B21" s="465"/>
      <c r="C21" s="466"/>
      <c r="D21" s="114"/>
      <c r="E21" s="55"/>
      <c r="F21" s="55"/>
      <c r="G21" s="55"/>
      <c r="H21" s="90"/>
      <c r="I21" s="114"/>
      <c r="J21" s="55"/>
      <c r="K21" s="55"/>
      <c r="L21" s="55"/>
      <c r="M21" s="90"/>
      <c r="N21" s="151"/>
      <c r="O21" s="152"/>
      <c r="P21" s="152"/>
      <c r="Q21" s="152"/>
      <c r="R21" s="225"/>
      <c r="S21" s="27"/>
    </row>
    <row r="22" spans="1:19" s="25" customFormat="1" ht="26.25" customHeight="1" x14ac:dyDescent="0.2">
      <c r="A22" s="47">
        <v>4</v>
      </c>
      <c r="B22" s="48" t="s">
        <v>1026</v>
      </c>
      <c r="C22" s="74" t="s">
        <v>88</v>
      </c>
      <c r="D22" s="112">
        <f>D20*2.5%</f>
        <v>42.542922500000003</v>
      </c>
      <c r="E22" s="50">
        <f>E20*2.5%</f>
        <v>28.443856250000007</v>
      </c>
      <c r="F22" s="50"/>
      <c r="G22" s="51"/>
      <c r="H22" s="86">
        <f>SUM(D22:G22)</f>
        <v>70.986778750000013</v>
      </c>
      <c r="I22" s="112">
        <f>I20*2.5%</f>
        <v>7.596409476660444</v>
      </c>
      <c r="J22" s="50">
        <f>J20*2.5%</f>
        <v>5.2461873243658665</v>
      </c>
      <c r="K22" s="51"/>
      <c r="L22" s="51"/>
      <c r="M22" s="86">
        <f t="shared" ref="M22" si="2">SUM(I22:L22)</f>
        <v>12.842596801026311</v>
      </c>
      <c r="N22" s="112">
        <f>N20*2.5%</f>
        <v>39.786475661537203</v>
      </c>
      <c r="O22" s="50">
        <f>O20*2.5%</f>
        <v>26.57959655235576</v>
      </c>
      <c r="P22" s="148"/>
      <c r="Q22" s="148"/>
      <c r="R22" s="226">
        <f>SUM(N22:Q22)</f>
        <v>66.366072213892963</v>
      </c>
      <c r="S22" s="17"/>
    </row>
    <row r="23" spans="1:19" s="25" customFormat="1" x14ac:dyDescent="0.2">
      <c r="A23" s="52"/>
      <c r="B23" s="53" t="s">
        <v>13</v>
      </c>
      <c r="C23" s="75" t="s">
        <v>16</v>
      </c>
      <c r="D23" s="113">
        <f>SUM(D22:D22)</f>
        <v>42.542922500000003</v>
      </c>
      <c r="E23" s="54">
        <f>SUM(E22:E22)</f>
        <v>28.443856250000007</v>
      </c>
      <c r="F23" s="54">
        <f>SUM(F22:F22)</f>
        <v>0</v>
      </c>
      <c r="G23" s="54">
        <v>0</v>
      </c>
      <c r="H23" s="88">
        <f>SUM(D23:G23)</f>
        <v>70.986778750000013</v>
      </c>
      <c r="I23" s="113">
        <f>SUM(I22:I22)</f>
        <v>7.596409476660444</v>
      </c>
      <c r="J23" s="54">
        <f>SUM(J22:J22)</f>
        <v>5.2461873243658665</v>
      </c>
      <c r="K23" s="54">
        <f>SUM(K22:K22)</f>
        <v>0</v>
      </c>
      <c r="L23" s="54">
        <f>SUM(L22:L22)</f>
        <v>0</v>
      </c>
      <c r="M23" s="88">
        <f>SUM(I23:L23)</f>
        <v>12.842596801026311</v>
      </c>
      <c r="N23" s="149">
        <f>SUM(N22:N22)</f>
        <v>39.786475661537203</v>
      </c>
      <c r="O23" s="150">
        <f>SUM(O22:O22)</f>
        <v>26.57959655235576</v>
      </c>
      <c r="P23" s="150">
        <f>SUM(P22:P22)</f>
        <v>0</v>
      </c>
      <c r="Q23" s="150"/>
      <c r="R23" s="224">
        <f>SUM(N23:Q23)</f>
        <v>66.366072213892963</v>
      </c>
      <c r="S23" s="26"/>
    </row>
    <row r="24" spans="1:19" s="25" customFormat="1" x14ac:dyDescent="0.2">
      <c r="A24" s="52"/>
      <c r="B24" s="53"/>
      <c r="C24" s="75" t="s">
        <v>17</v>
      </c>
      <c r="D24" s="113">
        <f>D14+D19+D23</f>
        <v>1744.2598225000002</v>
      </c>
      <c r="E24" s="54">
        <f>E14+E19+E23</f>
        <v>1166.1981062500001</v>
      </c>
      <c r="F24" s="54">
        <f>F14+F19+F23</f>
        <v>1423</v>
      </c>
      <c r="G24" s="54">
        <f>G14+G19+G23</f>
        <v>0</v>
      </c>
      <c r="H24" s="88">
        <f>SUM(D24:G24)</f>
        <v>4333.4579287500001</v>
      </c>
      <c r="I24" s="113">
        <f>I14+I19+I23</f>
        <v>311.45278854307816</v>
      </c>
      <c r="J24" s="54">
        <f>J14+J19+J23</f>
        <v>215.09368029900054</v>
      </c>
      <c r="K24" s="54">
        <f>K14+K19+K23</f>
        <v>302.1231422505308</v>
      </c>
      <c r="L24" s="54">
        <f>L14+L19+L23</f>
        <v>0</v>
      </c>
      <c r="M24" s="88">
        <f>SUM(I24:L24)</f>
        <v>828.66961109260944</v>
      </c>
      <c r="N24" s="307">
        <f>N14+N19+N23</f>
        <v>1631.2455021230253</v>
      </c>
      <c r="O24" s="308">
        <f>O14+O19+O23</f>
        <v>1089.7634586465861</v>
      </c>
      <c r="P24" s="308">
        <f>P14+P19+P23</f>
        <v>1341.4267515923568</v>
      </c>
      <c r="Q24" s="308">
        <f>Q20</f>
        <v>0</v>
      </c>
      <c r="R24" s="309">
        <f>SUM(N24:Q24)</f>
        <v>4062.4357123619684</v>
      </c>
      <c r="S24" s="26"/>
    </row>
    <row r="25" spans="1:19" s="25" customFormat="1" ht="15.75" customHeight="1" x14ac:dyDescent="0.2">
      <c r="A25" s="464" t="s">
        <v>18</v>
      </c>
      <c r="B25" s="465"/>
      <c r="C25" s="466"/>
      <c r="D25" s="89"/>
      <c r="E25" s="55"/>
      <c r="F25" s="55"/>
      <c r="G25" s="55"/>
      <c r="H25" s="90"/>
      <c r="I25" s="114"/>
      <c r="J25" s="55"/>
      <c r="K25" s="55"/>
      <c r="L25" s="55"/>
      <c r="M25" s="90"/>
      <c r="N25" s="310"/>
      <c r="O25" s="311"/>
      <c r="P25" s="311"/>
      <c r="Q25" s="311"/>
      <c r="R25" s="312"/>
      <c r="S25" s="27"/>
    </row>
    <row r="26" spans="1:19" s="25" customFormat="1" ht="38.25" x14ac:dyDescent="0.2">
      <c r="A26" s="56">
        <v>5</v>
      </c>
      <c r="B26" s="49" t="s">
        <v>1027</v>
      </c>
      <c r="C26" s="74" t="s">
        <v>1033</v>
      </c>
      <c r="D26" s="85">
        <f>D24*3.19%</f>
        <v>55.641888337750004</v>
      </c>
      <c r="E26" s="50">
        <f>E24*3.52%</f>
        <v>41.050173340000008</v>
      </c>
      <c r="F26" s="50"/>
      <c r="G26" s="50"/>
      <c r="H26" s="91">
        <f>SUM(D26:G26)</f>
        <v>96.692061677750019</v>
      </c>
      <c r="I26" s="112">
        <f>I24*3.19%</f>
        <v>9.9353439545241926</v>
      </c>
      <c r="J26" s="50">
        <f>J24*3.52%</f>
        <v>7.5712975465248196</v>
      </c>
      <c r="K26" s="50"/>
      <c r="L26" s="50"/>
      <c r="M26" s="91">
        <f>SUM(I26:L26)</f>
        <v>17.50664150104901</v>
      </c>
      <c r="N26" s="313">
        <f>N24*3.19%</f>
        <v>52.036731517724505</v>
      </c>
      <c r="O26" s="314">
        <f>O24*3.52%</f>
        <v>38.359673744359831</v>
      </c>
      <c r="P26" s="314"/>
      <c r="Q26" s="314"/>
      <c r="R26" s="315">
        <f>SUM(N26:Q26)</f>
        <v>90.396405262084329</v>
      </c>
      <c r="S26" s="28"/>
    </row>
    <row r="27" spans="1:19" s="25" customFormat="1" ht="38.25" x14ac:dyDescent="0.2">
      <c r="A27" s="56">
        <v>6</v>
      </c>
      <c r="B27" s="49" t="s">
        <v>81</v>
      </c>
      <c r="C27" s="73" t="s">
        <v>58</v>
      </c>
      <c r="D27" s="240"/>
      <c r="E27" s="50"/>
      <c r="F27" s="50"/>
      <c r="G27" s="50">
        <f>(D24+E24+H26)*2.7%</f>
        <v>81.19304974154926</v>
      </c>
      <c r="H27" s="91">
        <f>SUM(D27:G27)</f>
        <v>81.19304974154926</v>
      </c>
      <c r="I27" s="112"/>
      <c r="J27" s="50"/>
      <c r="K27" s="50"/>
      <c r="L27" s="50">
        <f>(I24+J24+M26)*2.7%</f>
        <v>14.689433979264448</v>
      </c>
      <c r="M27" s="91">
        <f t="shared" ref="M27:M28" si="3">SUM(I27:L27)</f>
        <v>14.689433979264448</v>
      </c>
      <c r="N27" s="198"/>
      <c r="O27" s="147"/>
      <c r="P27" s="147"/>
      <c r="Q27" s="50">
        <f>(N24+O24+R26)*2.7%</f>
        <v>75.907944882855801</v>
      </c>
      <c r="R27" s="238">
        <f>Q27</f>
        <v>75.907944882855801</v>
      </c>
      <c r="S27" s="28"/>
    </row>
    <row r="28" spans="1:19" s="25" customFormat="1" x14ac:dyDescent="0.2">
      <c r="A28" s="56">
        <v>7</v>
      </c>
      <c r="B28" s="49" t="s">
        <v>70</v>
      </c>
      <c r="C28" s="73" t="s">
        <v>1023</v>
      </c>
      <c r="D28" s="240"/>
      <c r="E28" s="50"/>
      <c r="F28" s="50"/>
      <c r="G28" s="50">
        <f>'В текущих ценах'!G27</f>
        <v>13.00778</v>
      </c>
      <c r="H28" s="91">
        <f>SUM(D28:G28)</f>
        <v>13.00778</v>
      </c>
      <c r="I28" s="112"/>
      <c r="J28" s="50"/>
      <c r="K28" s="50"/>
      <c r="L28" s="50">
        <f>G28/16.34</f>
        <v>0.79606976744186053</v>
      </c>
      <c r="M28" s="91">
        <f t="shared" si="3"/>
        <v>0.79606976744186053</v>
      </c>
      <c r="N28" s="198"/>
      <c r="O28" s="147"/>
      <c r="P28" s="147"/>
      <c r="Q28" s="50">
        <f>L28*15.23</f>
        <v>12.124142558139535</v>
      </c>
      <c r="R28" s="238">
        <f>Q28</f>
        <v>12.124142558139535</v>
      </c>
      <c r="S28" s="28"/>
    </row>
    <row r="29" spans="1:19" s="25" customFormat="1" ht="12.75" customHeight="1" x14ac:dyDescent="0.2">
      <c r="A29" s="58"/>
      <c r="B29" s="53" t="s">
        <v>13</v>
      </c>
      <c r="C29" s="75" t="s">
        <v>19</v>
      </c>
      <c r="D29" s="112">
        <f>SUM(D26:D26)</f>
        <v>55.641888337750004</v>
      </c>
      <c r="E29" s="50">
        <f>SUM(E26:E26)</f>
        <v>41.050173340000008</v>
      </c>
      <c r="F29" s="50">
        <f>SUM(F26:F26)</f>
        <v>0</v>
      </c>
      <c r="G29" s="50">
        <f>SUM(G26:G28)</f>
        <v>94.200829741549256</v>
      </c>
      <c r="H29" s="86">
        <f t="shared" ref="H29:H47" si="4">SUM(D29:G29)</f>
        <v>190.89289141929927</v>
      </c>
      <c r="I29" s="85">
        <f>SUM(I26:I26)</f>
        <v>9.9353439545241926</v>
      </c>
      <c r="J29" s="50">
        <f>SUM(J26:J26)</f>
        <v>7.5712975465248196</v>
      </c>
      <c r="K29" s="50">
        <f>SUM(K26:K26)</f>
        <v>0</v>
      </c>
      <c r="L29" s="50">
        <f>SUM(L27:L28)</f>
        <v>15.485503746706309</v>
      </c>
      <c r="M29" s="86">
        <f>SUM(I29:L29)</f>
        <v>32.992145247755317</v>
      </c>
      <c r="N29" s="50">
        <f>SUM(N26:N26)</f>
        <v>52.036731517724505</v>
      </c>
      <c r="O29" s="50">
        <f>SUM(O26:O26)</f>
        <v>38.359673744359831</v>
      </c>
      <c r="P29" s="50">
        <f>SUM(P26:P26)</f>
        <v>0</v>
      </c>
      <c r="Q29" s="50">
        <f>SUM(Q26:Q28)</f>
        <v>88.03208744099534</v>
      </c>
      <c r="R29" s="91">
        <f>SUM(R26:R27)</f>
        <v>166.30435014494014</v>
      </c>
      <c r="S29" s="17"/>
    </row>
    <row r="30" spans="1:19" s="25" customFormat="1" ht="12.75" customHeight="1" x14ac:dyDescent="0.2">
      <c r="A30" s="58"/>
      <c r="B30" s="53" t="s">
        <v>13</v>
      </c>
      <c r="C30" s="77" t="s">
        <v>20</v>
      </c>
      <c r="D30" s="87">
        <f>D24+D29</f>
        <v>1799.9017108377502</v>
      </c>
      <c r="E30" s="54">
        <f>E24+E29</f>
        <v>1207.24827959</v>
      </c>
      <c r="F30" s="54">
        <f>F24+F29</f>
        <v>1423</v>
      </c>
      <c r="G30" s="54">
        <f>G24+G29</f>
        <v>94.200829741549256</v>
      </c>
      <c r="H30" s="88">
        <f>SUM(D30:G30)</f>
        <v>4524.3508201692994</v>
      </c>
      <c r="I30" s="87">
        <f>I24+I29</f>
        <v>321.38813249760233</v>
      </c>
      <c r="J30" s="54">
        <f>J24+J29</f>
        <v>222.66497784552536</v>
      </c>
      <c r="K30" s="54">
        <f>K24+K29</f>
        <v>302.1231422505308</v>
      </c>
      <c r="L30" s="54">
        <f>L24+L29</f>
        <v>15.485503746706309</v>
      </c>
      <c r="M30" s="88">
        <f>SUM(I30:L30)</f>
        <v>861.66175634036472</v>
      </c>
      <c r="N30" s="113">
        <f>N24+N29</f>
        <v>1683.2822336407498</v>
      </c>
      <c r="O30" s="54">
        <f>O24+O29</f>
        <v>1128.1231323909458</v>
      </c>
      <c r="P30" s="54">
        <f>P24+P29</f>
        <v>1341.4267515923568</v>
      </c>
      <c r="Q30" s="54">
        <f>Q24+Q29</f>
        <v>88.03208744099534</v>
      </c>
      <c r="R30" s="237">
        <f>SUM(N30:Q30)</f>
        <v>4240.8642050650478</v>
      </c>
      <c r="S30" s="26"/>
    </row>
    <row r="31" spans="1:19" s="25" customFormat="1" ht="15.75" customHeight="1" x14ac:dyDescent="0.2">
      <c r="A31" s="464" t="s">
        <v>21</v>
      </c>
      <c r="B31" s="465"/>
      <c r="C31" s="466"/>
      <c r="D31" s="89"/>
      <c r="E31" s="55"/>
      <c r="F31" s="55"/>
      <c r="G31" s="55"/>
      <c r="H31" s="90"/>
      <c r="I31" s="89"/>
      <c r="J31" s="55"/>
      <c r="K31" s="55"/>
      <c r="L31" s="55"/>
      <c r="M31" s="90"/>
      <c r="N31" s="139"/>
      <c r="O31" s="140"/>
      <c r="P31" s="140"/>
      <c r="Q31" s="140"/>
      <c r="R31" s="227"/>
      <c r="S31" s="27"/>
    </row>
    <row r="32" spans="1:19" s="25" customFormat="1" ht="53.25" customHeight="1" x14ac:dyDescent="0.2">
      <c r="A32" s="56">
        <v>8</v>
      </c>
      <c r="B32" s="59" t="s">
        <v>82</v>
      </c>
      <c r="C32" s="74" t="s">
        <v>22</v>
      </c>
      <c r="D32" s="85"/>
      <c r="E32" s="50"/>
      <c r="F32" s="50"/>
      <c r="G32" s="50">
        <f>H30*2.14%</f>
        <v>96.821107551623015</v>
      </c>
      <c r="H32" s="91">
        <f t="shared" si="4"/>
        <v>96.821107551623015</v>
      </c>
      <c r="I32" s="85"/>
      <c r="J32" s="50"/>
      <c r="K32" s="50"/>
      <c r="L32" s="50">
        <f>M30*2.14%</f>
        <v>18.439561585683808</v>
      </c>
      <c r="M32" s="91">
        <f t="shared" ref="M32" si="5">SUM(I32:L32)</f>
        <v>18.439561585683808</v>
      </c>
      <c r="N32" s="112"/>
      <c r="O32" s="50"/>
      <c r="P32" s="50"/>
      <c r="Q32" s="50">
        <f>R30*2.14%</f>
        <v>90.754493988392028</v>
      </c>
      <c r="R32" s="91">
        <f>SUM(N32:Q32)</f>
        <v>90.754493988392028</v>
      </c>
      <c r="S32" s="28"/>
    </row>
    <row r="33" spans="1:51" s="25" customFormat="1" ht="38.25" x14ac:dyDescent="0.2">
      <c r="A33" s="56">
        <v>9</v>
      </c>
      <c r="B33" s="59" t="s">
        <v>930</v>
      </c>
      <c r="C33" s="73" t="s">
        <v>211</v>
      </c>
      <c r="D33" s="85"/>
      <c r="E33" s="50"/>
      <c r="F33" s="50"/>
      <c r="G33" s="50">
        <f>(H30+G37)*4.36%</f>
        <v>207.98729575938145</v>
      </c>
      <c r="H33" s="91">
        <f>G33</f>
        <v>207.98729575938145</v>
      </c>
      <c r="I33" s="85"/>
      <c r="J33" s="50"/>
      <c r="K33" s="50"/>
      <c r="L33" s="50">
        <f>(M30+L37)*4.36%</f>
        <v>40.116101032496907</v>
      </c>
      <c r="M33" s="91">
        <f>L33</f>
        <v>40.116101032496907</v>
      </c>
      <c r="N33" s="112"/>
      <c r="O33" s="50"/>
      <c r="P33" s="50"/>
      <c r="Q33" s="50">
        <f>(R30+Q37)*4.36%</f>
        <v>195.62727934083608</v>
      </c>
      <c r="R33" s="91">
        <f>Q33</f>
        <v>195.62727934083608</v>
      </c>
      <c r="S33" s="28"/>
    </row>
    <row r="34" spans="1:51" s="25" customFormat="1" ht="15" x14ac:dyDescent="0.25">
      <c r="A34" s="52"/>
      <c r="B34" s="53" t="s">
        <v>13</v>
      </c>
      <c r="C34" s="75" t="s">
        <v>23</v>
      </c>
      <c r="D34" s="85">
        <f>D32</f>
        <v>0</v>
      </c>
      <c r="E34" s="50">
        <f>E32</f>
        <v>0</v>
      </c>
      <c r="F34" s="50">
        <f>F32</f>
        <v>0</v>
      </c>
      <c r="G34" s="50">
        <f>G32+G33</f>
        <v>304.80840331100444</v>
      </c>
      <c r="H34" s="91">
        <f t="shared" si="4"/>
        <v>304.80840331100444</v>
      </c>
      <c r="I34" s="85">
        <f>I32</f>
        <v>0</v>
      </c>
      <c r="J34" s="50">
        <f>J32</f>
        <v>0</v>
      </c>
      <c r="K34" s="50">
        <f>K32</f>
        <v>0</v>
      </c>
      <c r="L34" s="50">
        <f>L32+L33</f>
        <v>58.555662618180719</v>
      </c>
      <c r="M34" s="91">
        <f>SUM(I34:L34)</f>
        <v>58.555662618180719</v>
      </c>
      <c r="N34" s="85">
        <f>N32</f>
        <v>0</v>
      </c>
      <c r="O34" s="50">
        <f>O32</f>
        <v>0</v>
      </c>
      <c r="P34" s="50">
        <f>P32</f>
        <v>0</v>
      </c>
      <c r="Q34" s="50">
        <f>Q32+Q33</f>
        <v>286.38177332922811</v>
      </c>
      <c r="R34" s="91">
        <f>SUM(N34:Q34)</f>
        <v>286.38177332922811</v>
      </c>
      <c r="S34" s="28"/>
      <c r="T34" s="122"/>
      <c r="AT34" s="123" t="s">
        <v>1016</v>
      </c>
      <c r="AU34" s="124" t="s">
        <v>36</v>
      </c>
      <c r="AV34" s="234">
        <f>AV35+AV36</f>
        <v>611.95567000000005</v>
      </c>
      <c r="AW34" s="125"/>
      <c r="AX34" s="126"/>
    </row>
    <row r="35" spans="1:51" s="25" customFormat="1" ht="22.5" customHeight="1" x14ac:dyDescent="0.25">
      <c r="A35" s="52"/>
      <c r="B35" s="53" t="s">
        <v>13</v>
      </c>
      <c r="C35" s="78" t="s">
        <v>24</v>
      </c>
      <c r="D35" s="85">
        <f>D30+D34</f>
        <v>1799.9017108377502</v>
      </c>
      <c r="E35" s="50">
        <f>E30+E34</f>
        <v>1207.24827959</v>
      </c>
      <c r="F35" s="50">
        <f>F30+F34</f>
        <v>1423</v>
      </c>
      <c r="G35" s="50">
        <f>G30+G34</f>
        <v>399.00923305255367</v>
      </c>
      <c r="H35" s="91">
        <f t="shared" si="4"/>
        <v>4829.1592234803038</v>
      </c>
      <c r="I35" s="85">
        <f>I30+I34</f>
        <v>321.38813249760233</v>
      </c>
      <c r="J35" s="50">
        <f>J30+J34</f>
        <v>222.66497784552536</v>
      </c>
      <c r="K35" s="50">
        <f>K30+K34</f>
        <v>302.1231422505308</v>
      </c>
      <c r="L35" s="50">
        <f>L30+L34</f>
        <v>74.041166364887033</v>
      </c>
      <c r="M35" s="91">
        <f>SUM(I35:L35)</f>
        <v>920.21741895854552</v>
      </c>
      <c r="N35" s="85">
        <f>N30+N34</f>
        <v>1683.2822336407498</v>
      </c>
      <c r="O35" s="50">
        <f>O30+O34</f>
        <v>1128.1231323909458</v>
      </c>
      <c r="P35" s="50">
        <f>P30+P34</f>
        <v>1341.4267515923568</v>
      </c>
      <c r="Q35" s="50">
        <f>Q30+Q34</f>
        <v>374.41386077022344</v>
      </c>
      <c r="R35" s="91">
        <f>SUM(N35:Q35)</f>
        <v>4527.2459783942759</v>
      </c>
      <c r="S35" s="28"/>
      <c r="T35" s="123" t="s">
        <v>1016</v>
      </c>
      <c r="U35" s="124" t="s">
        <v>36</v>
      </c>
      <c r="V35" s="234">
        <f>V36+V37</f>
        <v>611.95567000000005</v>
      </c>
      <c r="AT35" s="127"/>
      <c r="AU35" s="128" t="s">
        <v>42</v>
      </c>
      <c r="AV35" s="235">
        <f>R37</f>
        <v>246</v>
      </c>
      <c r="AW35" s="129"/>
      <c r="AX35" s="130"/>
    </row>
    <row r="36" spans="1:51" s="25" customFormat="1" ht="15.75" customHeight="1" x14ac:dyDescent="0.25">
      <c r="A36" s="464" t="s">
        <v>25</v>
      </c>
      <c r="B36" s="465"/>
      <c r="C36" s="466"/>
      <c r="D36" s="89"/>
      <c r="E36" s="55"/>
      <c r="F36" s="55"/>
      <c r="G36" s="55"/>
      <c r="H36" s="90"/>
      <c r="I36" s="89"/>
      <c r="J36" s="55"/>
      <c r="K36" s="55"/>
      <c r="L36" s="55"/>
      <c r="M36" s="90"/>
      <c r="N36" s="141"/>
      <c r="O36" s="140"/>
      <c r="P36" s="140"/>
      <c r="Q36" s="140"/>
      <c r="R36" s="227"/>
      <c r="S36" s="27"/>
      <c r="T36" s="127"/>
      <c r="U36" s="128" t="s">
        <v>42</v>
      </c>
      <c r="V36" s="235">
        <f>R37</f>
        <v>246</v>
      </c>
      <c r="W36" s="125"/>
      <c r="X36" s="126"/>
      <c r="AT36" s="127"/>
      <c r="AU36" s="128" t="s">
        <v>1017</v>
      </c>
      <c r="AV36" s="235">
        <f>54.81414+10.16153+300.98</f>
        <v>365.95567000000005</v>
      </c>
      <c r="AW36" s="129"/>
      <c r="AX36" s="130"/>
    </row>
    <row r="37" spans="1:51" s="25" customFormat="1" ht="25.5" x14ac:dyDescent="0.25">
      <c r="A37" s="56">
        <v>10</v>
      </c>
      <c r="B37" s="267" t="s">
        <v>342</v>
      </c>
      <c r="C37" s="74" t="s">
        <v>57</v>
      </c>
      <c r="D37" s="92"/>
      <c r="E37" s="57"/>
      <c r="F37" s="57"/>
      <c r="G37" s="50">
        <f>'В текущих ценах'!G35</f>
        <v>246</v>
      </c>
      <c r="H37" s="91">
        <f>SUM(D37:G37)</f>
        <v>246</v>
      </c>
      <c r="I37" s="92"/>
      <c r="J37" s="57"/>
      <c r="K37" s="57"/>
      <c r="L37" s="50">
        <f>G37/4.21</f>
        <v>58.432304038004752</v>
      </c>
      <c r="M37" s="91">
        <f>SUM(I37:L37)</f>
        <v>58.432304038004752</v>
      </c>
      <c r="N37" s="142"/>
      <c r="O37" s="118"/>
      <c r="P37" s="118"/>
      <c r="Q37" s="50">
        <f>G37</f>
        <v>246</v>
      </c>
      <c r="R37" s="91">
        <f t="shared" ref="R37" si="6">SUM(N37:Q37)</f>
        <v>246</v>
      </c>
      <c r="S37" s="28"/>
      <c r="T37" s="127"/>
      <c r="U37" s="128" t="s">
        <v>37</v>
      </c>
      <c r="V37" s="235">
        <v>365.95567000000005</v>
      </c>
      <c r="W37" s="129"/>
      <c r="X37" s="130"/>
      <c r="AT37" s="123" t="s">
        <v>74</v>
      </c>
      <c r="AU37" s="124" t="s">
        <v>36</v>
      </c>
      <c r="AV37" s="234">
        <f>R43-AV34</f>
        <v>5097.4534624610214</v>
      </c>
      <c r="AW37" s="203"/>
      <c r="AX37" s="131"/>
    </row>
    <row r="38" spans="1:51" s="25" customFormat="1" ht="26.25" x14ac:dyDescent="0.25">
      <c r="A38" s="52"/>
      <c r="B38" s="53" t="s">
        <v>13</v>
      </c>
      <c r="C38" s="75" t="s">
        <v>26</v>
      </c>
      <c r="D38" s="85">
        <f>SUM(D37:D37)</f>
        <v>0</v>
      </c>
      <c r="E38" s="50">
        <f>SUM(E37:E37)</f>
        <v>0</v>
      </c>
      <c r="F38" s="50">
        <f>SUM(F37:F37)</f>
        <v>0</v>
      </c>
      <c r="G38" s="50">
        <f>SUM(G37:G37)</f>
        <v>246</v>
      </c>
      <c r="H38" s="91">
        <f t="shared" si="4"/>
        <v>246</v>
      </c>
      <c r="I38" s="85">
        <f>SUM(I37:I37)</f>
        <v>0</v>
      </c>
      <c r="J38" s="50">
        <f>SUM(J37:J37)</f>
        <v>0</v>
      </c>
      <c r="K38" s="50">
        <f>SUM(K37:K37)</f>
        <v>0</v>
      </c>
      <c r="L38" s="50">
        <f>SUM(L37:L37)</f>
        <v>58.432304038004752</v>
      </c>
      <c r="M38" s="91">
        <f t="shared" ref="M38" si="7">SUM(I38:L38)</f>
        <v>58.432304038004752</v>
      </c>
      <c r="N38" s="85">
        <f>SUM(N37:N37)</f>
        <v>0</v>
      </c>
      <c r="O38" s="50">
        <f>SUM(O37:O37)</f>
        <v>0</v>
      </c>
      <c r="P38" s="50">
        <f>SUM(P37:P37)</f>
        <v>0</v>
      </c>
      <c r="Q38" s="50">
        <f>SUM(Q37:Q37)</f>
        <v>246</v>
      </c>
      <c r="R38" s="91">
        <f>SUM(N38:Q38)</f>
        <v>246</v>
      </c>
      <c r="S38" s="28"/>
      <c r="T38" s="123" t="s">
        <v>74</v>
      </c>
      <c r="U38" s="124" t="s">
        <v>36</v>
      </c>
      <c r="V38" s="234">
        <f>R45-V35</f>
        <v>5097.4534624610214</v>
      </c>
      <c r="W38" s="203"/>
      <c r="X38" s="131"/>
      <c r="AT38" s="132"/>
      <c r="AU38" s="128" t="s">
        <v>1020</v>
      </c>
      <c r="AV38" s="235">
        <f>'НМЦ лота'!H29</f>
        <v>1290.5221891252902</v>
      </c>
      <c r="AW38" s="235" t="e">
        <f>'НМЦ лота'!#REF!</f>
        <v>#REF!</v>
      </c>
      <c r="AX38" s="278" t="s">
        <v>1018</v>
      </c>
      <c r="AY38" s="235" t="e">
        <f>AV38-AW38</f>
        <v>#REF!</v>
      </c>
    </row>
    <row r="39" spans="1:51" s="25" customFormat="1" ht="26.25" x14ac:dyDescent="0.25">
      <c r="A39" s="52"/>
      <c r="B39" s="53" t="s">
        <v>13</v>
      </c>
      <c r="C39" s="78" t="s">
        <v>27</v>
      </c>
      <c r="D39" s="85">
        <f>D35+D38</f>
        <v>1799.9017108377502</v>
      </c>
      <c r="E39" s="50">
        <f>E35+E38</f>
        <v>1207.24827959</v>
      </c>
      <c r="F39" s="50">
        <f>F35+F38</f>
        <v>1423</v>
      </c>
      <c r="G39" s="50">
        <f>G35+G38</f>
        <v>645.00923305255367</v>
      </c>
      <c r="H39" s="91">
        <f t="shared" si="4"/>
        <v>5075.1592234803038</v>
      </c>
      <c r="I39" s="85">
        <f>I35+I38</f>
        <v>321.38813249760233</v>
      </c>
      <c r="J39" s="50">
        <f>J35+J38</f>
        <v>222.66497784552536</v>
      </c>
      <c r="K39" s="50">
        <f>K35+K38</f>
        <v>302.1231422505308</v>
      </c>
      <c r="L39" s="50">
        <f>L35+L38</f>
        <v>132.47347040289179</v>
      </c>
      <c r="M39" s="91">
        <f>SUM(I39:L39)</f>
        <v>978.64972299655028</v>
      </c>
      <c r="N39" s="85">
        <f>N35+N38</f>
        <v>1683.2822336407498</v>
      </c>
      <c r="O39" s="50">
        <f>O35+O38</f>
        <v>1128.1231323909458</v>
      </c>
      <c r="P39" s="50">
        <f>P35+P38</f>
        <v>1341.4267515923568</v>
      </c>
      <c r="Q39" s="50">
        <f>Q35+Q38</f>
        <v>620.41386077022344</v>
      </c>
      <c r="R39" s="91">
        <f>SUM(N39:Q39)</f>
        <v>4773.2459783942759</v>
      </c>
      <c r="S39" s="28"/>
      <c r="T39" s="132"/>
      <c r="U39" s="128" t="s">
        <v>1020</v>
      </c>
      <c r="V39" s="235">
        <f>'НМЦ лота'!H29</f>
        <v>1290.5221891252902</v>
      </c>
      <c r="W39" s="235">
        <f>'НМЦ лота'!H63</f>
        <v>1350.592906448589</v>
      </c>
      <c r="X39" s="278" t="s">
        <v>1018</v>
      </c>
      <c r="Y39" s="235">
        <f>V39-W39</f>
        <v>-60.070717323298823</v>
      </c>
      <c r="AT39" s="133"/>
      <c r="AU39" s="128" t="s">
        <v>1019</v>
      </c>
      <c r="AV39" s="235">
        <f>'НМЦ лота'!M29</f>
        <v>3398.8928724498473</v>
      </c>
      <c r="AW39" s="235" t="e">
        <f>'НМЦ лота'!#REF!</f>
        <v>#REF!</v>
      </c>
      <c r="AX39" s="279"/>
      <c r="AY39" s="235" t="e">
        <f>AV39-AW39</f>
        <v>#REF!</v>
      </c>
    </row>
    <row r="40" spans="1:51" s="25" customFormat="1" ht="22.5" customHeight="1" x14ac:dyDescent="0.25">
      <c r="A40" s="464"/>
      <c r="B40" s="465"/>
      <c r="C40" s="466"/>
      <c r="D40" s="89"/>
      <c r="E40" s="55"/>
      <c r="F40" s="55"/>
      <c r="G40" s="55"/>
      <c r="H40" s="90"/>
      <c r="I40" s="89"/>
      <c r="J40" s="55"/>
      <c r="K40" s="55"/>
      <c r="L40" s="55"/>
      <c r="M40" s="90"/>
      <c r="N40" s="141"/>
      <c r="O40" s="140"/>
      <c r="P40" s="140"/>
      <c r="Q40" s="140"/>
      <c r="R40" s="227"/>
      <c r="S40" s="27"/>
      <c r="T40" s="133"/>
      <c r="U40" s="128" t="s">
        <v>1019</v>
      </c>
      <c r="V40" s="235">
        <f>'НМЦ лота'!M29</f>
        <v>3398.8928724498473</v>
      </c>
      <c r="W40" s="235">
        <f>'НМЦ лота'!M63</f>
        <v>3602.4135610351282</v>
      </c>
      <c r="X40" s="279"/>
      <c r="Y40" s="235">
        <f>V40-W40</f>
        <v>-203.52068858528082</v>
      </c>
      <c r="AT40" s="134"/>
      <c r="AU40" s="128" t="s">
        <v>37</v>
      </c>
      <c r="AV40" s="235">
        <f>((R24+R26)*0.015+(R27+R32+R33)*1.03)*1.053*1.051*1.04-AV36</f>
        <v>135.23573032100381</v>
      </c>
      <c r="AW40" s="235" t="e">
        <f>AV37-AW38-AW39</f>
        <v>#REF!</v>
      </c>
      <c r="AX40" s="134"/>
      <c r="AY40" s="235"/>
    </row>
    <row r="41" spans="1:51" s="25" customFormat="1" ht="15" x14ac:dyDescent="0.25">
      <c r="A41" s="56">
        <v>11</v>
      </c>
      <c r="B41" s="60" t="s">
        <v>83</v>
      </c>
      <c r="C41" s="75" t="s">
        <v>71</v>
      </c>
      <c r="D41" s="85">
        <f t="shared" ref="D41:E41" si="8">D39*0.03</f>
        <v>53.997051325132503</v>
      </c>
      <c r="E41" s="50">
        <f t="shared" si="8"/>
        <v>36.217448387700003</v>
      </c>
      <c r="F41" s="50">
        <f>F39*0.03</f>
        <v>42.69</v>
      </c>
      <c r="G41" s="50">
        <f>(G39-G37)*0.03</f>
        <v>11.970276991576609</v>
      </c>
      <c r="H41" s="91">
        <f t="shared" si="4"/>
        <v>144.8747767044091</v>
      </c>
      <c r="I41" s="112">
        <f>ROUND(I39*0.03,3)</f>
        <v>9.6419999999999995</v>
      </c>
      <c r="J41" s="50">
        <f t="shared" ref="J41:K41" si="9">ROUND(J39*0.03,3)</f>
        <v>6.68</v>
      </c>
      <c r="K41" s="400">
        <f t="shared" si="9"/>
        <v>9.0640000000000001</v>
      </c>
      <c r="L41" s="50">
        <f>(L39-L37)*0.03</f>
        <v>2.2212349909466109</v>
      </c>
      <c r="M41" s="91">
        <f>SUM(I41:L41)</f>
        <v>27.607234990946608</v>
      </c>
      <c r="N41" s="85">
        <f>N39*0.03</f>
        <v>50.498467009222495</v>
      </c>
      <c r="O41" s="50">
        <f>O39*0.03</f>
        <v>33.843693971728371</v>
      </c>
      <c r="P41" s="50">
        <f>P39*0.03</f>
        <v>40.242802547770701</v>
      </c>
      <c r="Q41" s="50">
        <f>(Q39-Q37)*0.03</f>
        <v>11.232415823106702</v>
      </c>
      <c r="R41" s="91">
        <f>SUM(N41:Q41)</f>
        <v>135.81737935182827</v>
      </c>
      <c r="S41" s="28"/>
      <c r="T41" s="134"/>
      <c r="U41" s="128" t="s">
        <v>37</v>
      </c>
      <c r="V41" s="235">
        <f>((R24+R26+R28)*0.015+(R27+R32+R33)*1.03)*1.053*1.074*1.036-V37</f>
        <v>144.44699497730448</v>
      </c>
      <c r="W41" s="235">
        <f>V38-W39-W40</f>
        <v>144.44699497730426</v>
      </c>
      <c r="X41" s="134"/>
      <c r="Y41" s="235"/>
      <c r="AT41" s="134"/>
      <c r="AU41" s="128" t="s">
        <v>38</v>
      </c>
      <c r="AV41" s="235">
        <f>AV37-AV38-AV39-AV40</f>
        <v>272.80267056487986</v>
      </c>
      <c r="AW41" s="235" t="e">
        <f>((R24+R26)*0.015+(R27+R32+R33)*1.03)*1.053*1.051*1.04-AW40-AV36</f>
        <v>#REF!</v>
      </c>
      <c r="AX41" s="279"/>
      <c r="AY41" s="235"/>
    </row>
    <row r="42" spans="1:51" s="32" customFormat="1" ht="12.75" customHeight="1" x14ac:dyDescent="0.25">
      <c r="A42" s="61"/>
      <c r="B42" s="62" t="s">
        <v>13</v>
      </c>
      <c r="C42" s="79" t="s">
        <v>28</v>
      </c>
      <c r="D42" s="87">
        <f>D39+D41</f>
        <v>1853.8987621628828</v>
      </c>
      <c r="E42" s="54">
        <f>E39+E41</f>
        <v>1243.4657279777</v>
      </c>
      <c r="F42" s="54">
        <f>F39+F41</f>
        <v>1465.69</v>
      </c>
      <c r="G42" s="54">
        <f>G39+G41</f>
        <v>656.97951004413028</v>
      </c>
      <c r="H42" s="93">
        <f>SUM(D42:G42)</f>
        <v>5220.0340001847135</v>
      </c>
      <c r="I42" s="87">
        <f>I39+I41</f>
        <v>331.03013249760232</v>
      </c>
      <c r="J42" s="54">
        <f>J39+J41</f>
        <v>229.34497784552536</v>
      </c>
      <c r="K42" s="54">
        <f>K39+K41</f>
        <v>311.18714225053083</v>
      </c>
      <c r="L42" s="54">
        <f>L39+L41</f>
        <v>134.6947053938384</v>
      </c>
      <c r="M42" s="93">
        <f>SUM(I42:L42)</f>
        <v>1006.2569579874969</v>
      </c>
      <c r="N42" s="113">
        <f>N39+N41</f>
        <v>1733.7807006499722</v>
      </c>
      <c r="O42" s="200">
        <f>O39+O41</f>
        <v>1161.9668263626741</v>
      </c>
      <c r="P42" s="200">
        <f>P39+P41</f>
        <v>1381.6695541401275</v>
      </c>
      <c r="Q42" s="200">
        <f>Q39+Q41</f>
        <v>631.64627659333019</v>
      </c>
      <c r="R42" s="93">
        <f>SUM(N42:Q42)</f>
        <v>4909.063357746104</v>
      </c>
      <c r="S42" s="120"/>
      <c r="T42" s="399"/>
      <c r="U42" s="128" t="s">
        <v>38</v>
      </c>
      <c r="V42" s="235">
        <f>V38-V39-V40-V41</f>
        <v>263.59140590857919</v>
      </c>
      <c r="W42" s="235">
        <f>((R24+R26+R28)*0.015+(R27+R32+R33)*1.03)*1.053*1.074*1.036-V37-W41</f>
        <v>2.2737367544323206E-13</v>
      </c>
      <c r="X42" s="279"/>
      <c r="Y42" s="235"/>
      <c r="AT42" s="25"/>
      <c r="AU42" s="25"/>
      <c r="AV42" s="25"/>
      <c r="AW42" s="25"/>
      <c r="AX42" s="25"/>
      <c r="AY42" s="25"/>
    </row>
    <row r="43" spans="1:51" s="25" customFormat="1" ht="31.5" customHeight="1" x14ac:dyDescent="0.2">
      <c r="A43" s="106"/>
      <c r="B43" s="107"/>
      <c r="C43" s="230" t="s">
        <v>79</v>
      </c>
      <c r="D43" s="109"/>
      <c r="E43" s="110"/>
      <c r="F43" s="110"/>
      <c r="G43" s="110"/>
      <c r="H43" s="111"/>
      <c r="I43" s="109"/>
      <c r="J43" s="110"/>
      <c r="K43" s="110"/>
      <c r="L43" s="110"/>
      <c r="M43" s="111"/>
      <c r="N43" s="231">
        <f>N42*1.053*1.074*1.036</f>
        <v>2031.3584840919248</v>
      </c>
      <c r="O43" s="232">
        <f>O42*1.053*1.074*1.036</f>
        <v>1361.4012257030622</v>
      </c>
      <c r="P43" s="232">
        <f>P42*1.053*1.074*1.036</f>
        <v>1618.8126733455229</v>
      </c>
      <c r="Q43" s="232">
        <f>(Q42-Q37)*1.053*1.074*1.036+Q37</f>
        <v>697.83674932051144</v>
      </c>
      <c r="R43" s="545">
        <f>SUM(N43:Q43)</f>
        <v>5709.4091324610217</v>
      </c>
      <c r="S43" s="121"/>
      <c r="T43" s="451" t="s">
        <v>59</v>
      </c>
      <c r="U43" s="448" t="s">
        <v>39</v>
      </c>
      <c r="V43" s="449"/>
      <c r="W43" s="449"/>
      <c r="X43" s="450"/>
      <c r="Y43" s="451" t="s">
        <v>60</v>
      </c>
      <c r="Z43" s="448" t="s">
        <v>39</v>
      </c>
      <c r="AA43" s="449"/>
      <c r="AB43" s="449"/>
      <c r="AC43" s="450"/>
      <c r="AD43" s="451" t="s">
        <v>40</v>
      </c>
      <c r="AE43" s="448" t="s">
        <v>39</v>
      </c>
      <c r="AF43" s="449"/>
      <c r="AG43" s="449"/>
      <c r="AH43" s="450"/>
      <c r="AI43" s="451" t="s">
        <v>41</v>
      </c>
      <c r="AJ43" s="448" t="s">
        <v>39</v>
      </c>
      <c r="AK43" s="449"/>
      <c r="AL43" s="449"/>
      <c r="AM43" s="450"/>
      <c r="AN43" s="453" t="s">
        <v>61</v>
      </c>
      <c r="AO43" s="455" t="s">
        <v>62</v>
      </c>
      <c r="AP43" s="456"/>
      <c r="AQ43" s="456"/>
      <c r="AR43" s="457"/>
    </row>
    <row r="44" spans="1:51" s="25" customFormat="1" ht="25.5" customHeight="1" x14ac:dyDescent="0.2">
      <c r="A44" s="106"/>
      <c r="B44" s="107"/>
      <c r="C44" s="108" t="s">
        <v>35</v>
      </c>
      <c r="D44" s="109"/>
      <c r="E44" s="110"/>
      <c r="F44" s="110"/>
      <c r="G44" s="110"/>
      <c r="H44" s="111"/>
      <c r="I44" s="109"/>
      <c r="J44" s="110"/>
      <c r="K44" s="110"/>
      <c r="L44" s="110"/>
      <c r="M44" s="111"/>
      <c r="N44" s="119"/>
      <c r="O44" s="201"/>
      <c r="P44" s="201"/>
      <c r="Q44" s="201"/>
      <c r="R44" s="208"/>
      <c r="S44" s="115"/>
      <c r="T44" s="452"/>
      <c r="U44" s="135" t="s">
        <v>42</v>
      </c>
      <c r="V44" s="135" t="s">
        <v>43</v>
      </c>
      <c r="W44" s="135" t="s">
        <v>44</v>
      </c>
      <c r="X44" s="135" t="s">
        <v>45</v>
      </c>
      <c r="Y44" s="452"/>
      <c r="Z44" s="135" t="s">
        <v>42</v>
      </c>
      <c r="AA44" s="135" t="s">
        <v>43</v>
      </c>
      <c r="AB44" s="135" t="s">
        <v>44</v>
      </c>
      <c r="AC44" s="135" t="s">
        <v>45</v>
      </c>
      <c r="AD44" s="452"/>
      <c r="AE44" s="135" t="s">
        <v>42</v>
      </c>
      <c r="AF44" s="135" t="s">
        <v>43</v>
      </c>
      <c r="AG44" s="135" t="s">
        <v>44</v>
      </c>
      <c r="AH44" s="135" t="s">
        <v>45</v>
      </c>
      <c r="AI44" s="452"/>
      <c r="AJ44" s="135" t="s">
        <v>42</v>
      </c>
      <c r="AK44" s="135" t="s">
        <v>43</v>
      </c>
      <c r="AL44" s="135" t="s">
        <v>44</v>
      </c>
      <c r="AM44" s="135" t="s">
        <v>45</v>
      </c>
      <c r="AN44" s="454"/>
      <c r="AO44" s="202" t="s">
        <v>42</v>
      </c>
      <c r="AP44" s="202" t="s">
        <v>44</v>
      </c>
      <c r="AQ44" s="202" t="s">
        <v>43</v>
      </c>
      <c r="AR44" s="202" t="s">
        <v>45</v>
      </c>
    </row>
    <row r="45" spans="1:51" s="25" customFormat="1" ht="19.5" customHeight="1" x14ac:dyDescent="0.2">
      <c r="A45" s="61"/>
      <c r="B45" s="63" t="s">
        <v>13</v>
      </c>
      <c r="C45" s="79" t="s">
        <v>29</v>
      </c>
      <c r="D45" s="87">
        <f>D42</f>
        <v>1853.8987621628828</v>
      </c>
      <c r="E45" s="54">
        <f>E42</f>
        <v>1243.4657279777</v>
      </c>
      <c r="F45" s="54">
        <f>F42</f>
        <v>1465.69</v>
      </c>
      <c r="G45" s="54">
        <f>G42</f>
        <v>656.97951004413028</v>
      </c>
      <c r="H45" s="93">
        <f t="shared" si="4"/>
        <v>5220.0340001847135</v>
      </c>
      <c r="I45" s="87">
        <f>I42</f>
        <v>331.03013249760232</v>
      </c>
      <c r="J45" s="54">
        <f>J42</f>
        <v>229.34497784552536</v>
      </c>
      <c r="K45" s="54">
        <f>K42</f>
        <v>311.18714225053083</v>
      </c>
      <c r="L45" s="54">
        <f>L42</f>
        <v>134.6947053938384</v>
      </c>
      <c r="M45" s="93">
        <f>SUM(I45:L45)</f>
        <v>1006.2569579874969</v>
      </c>
      <c r="N45" s="87">
        <f>N43</f>
        <v>2031.3584840919248</v>
      </c>
      <c r="O45" s="54">
        <f>O43</f>
        <v>1361.4012257030622</v>
      </c>
      <c r="P45" s="54">
        <f t="shared" ref="P45:Q45" si="10">P43</f>
        <v>1618.8126733455229</v>
      </c>
      <c r="Q45" s="54">
        <f t="shared" si="10"/>
        <v>697.83674932051144</v>
      </c>
      <c r="R45" s="93">
        <f>SUM(N45:Q45)</f>
        <v>5709.4091324610217</v>
      </c>
      <c r="S45" s="115"/>
      <c r="T45" s="153">
        <f>H45</f>
        <v>5220.0340001847135</v>
      </c>
      <c r="U45" s="153">
        <f>H38</f>
        <v>246</v>
      </c>
      <c r="V45" s="153">
        <f>F45</f>
        <v>1465.69</v>
      </c>
      <c r="W45" s="153">
        <f>D45+E45</f>
        <v>3097.3644901405828</v>
      </c>
      <c r="X45" s="153">
        <f>T45-U45-V45-W45</f>
        <v>410.97951004413062</v>
      </c>
      <c r="Y45" s="153">
        <f>M45</f>
        <v>1006.2569579874969</v>
      </c>
      <c r="Z45" s="153">
        <f>M37</f>
        <v>58.432304038004752</v>
      </c>
      <c r="AA45" s="153">
        <f>K45</f>
        <v>311.18714225053083</v>
      </c>
      <c r="AB45" s="153">
        <f>I45+J45</f>
        <v>560.37511034312774</v>
      </c>
      <c r="AC45" s="153">
        <f>Y45-Z45-AA45-AB45</f>
        <v>76.262401355833617</v>
      </c>
      <c r="AD45" s="153">
        <f>R43</f>
        <v>5709.4091324610217</v>
      </c>
      <c r="AE45" s="154">
        <f>R38</f>
        <v>246</v>
      </c>
      <c r="AF45" s="153">
        <f>P43</f>
        <v>1618.8126733455229</v>
      </c>
      <c r="AG45" s="153">
        <f>N43+O43</f>
        <v>3392.759709794987</v>
      </c>
      <c r="AH45" s="153">
        <f>AD45-AE45-AF45-AG45</f>
        <v>451.8367493205119</v>
      </c>
      <c r="AI45" s="153">
        <f>R45</f>
        <v>5709.4091324610217</v>
      </c>
      <c r="AJ45" s="153">
        <f>AE45</f>
        <v>246</v>
      </c>
      <c r="AK45" s="153">
        <f>P44</f>
        <v>0</v>
      </c>
      <c r="AL45" s="153">
        <f>AG45</f>
        <v>3392.759709794987</v>
      </c>
      <c r="AM45" s="153">
        <f>AI45-AJ45-AK45-AL45</f>
        <v>2070.6494226660348</v>
      </c>
      <c r="AN45" s="153">
        <f>V38</f>
        <v>5097.4534624610214</v>
      </c>
      <c r="AO45" s="153"/>
      <c r="AP45" s="153" t="e">
        <f>#REF!+#REF!</f>
        <v>#REF!</v>
      </c>
      <c r="AQ45" s="153" t="e">
        <f>#REF!</f>
        <v>#REF!</v>
      </c>
      <c r="AR45" s="153" t="e">
        <f>AN45-AO45-AP45-AQ45</f>
        <v>#REF!</v>
      </c>
    </row>
    <row r="46" spans="1:51" s="25" customFormat="1" x14ac:dyDescent="0.2">
      <c r="A46" s="58"/>
      <c r="B46" s="64" t="s">
        <v>13</v>
      </c>
      <c r="C46" s="75" t="s">
        <v>69</v>
      </c>
      <c r="D46" s="85">
        <f>D45*0.2</f>
        <v>370.77975243257657</v>
      </c>
      <c r="E46" s="50">
        <f>E45*0.2</f>
        <v>248.69314559554002</v>
      </c>
      <c r="F46" s="50">
        <f>F45*0.2</f>
        <v>293.13800000000003</v>
      </c>
      <c r="G46" s="50">
        <f>(G45-G38)*0.2</f>
        <v>82.195902008826067</v>
      </c>
      <c r="H46" s="91">
        <f t="shared" si="4"/>
        <v>994.8068000369426</v>
      </c>
      <c r="I46" s="85">
        <f>I45*0.2</f>
        <v>66.206026499520462</v>
      </c>
      <c r="J46" s="50">
        <f>J45*0.2</f>
        <v>45.868995569105074</v>
      </c>
      <c r="K46" s="50">
        <f>K45*0.2</f>
        <v>62.237428450106165</v>
      </c>
      <c r="L46" s="50">
        <f>(L45-L38)*0.2</f>
        <v>15.25248027116673</v>
      </c>
      <c r="M46" s="91">
        <f>SUM(I46:L46)</f>
        <v>189.56493078989843</v>
      </c>
      <c r="N46" s="85">
        <f>N45*0.2</f>
        <v>406.27169681838495</v>
      </c>
      <c r="O46" s="50">
        <f>O45*0.2</f>
        <v>272.28024514061246</v>
      </c>
      <c r="P46" s="50">
        <f>P45*0.2</f>
        <v>323.76253466910458</v>
      </c>
      <c r="Q46" s="50">
        <f>(Q45-Q38)*0.2</f>
        <v>90.367349864102295</v>
      </c>
      <c r="R46" s="91">
        <f>SUM(N46:Q46)</f>
        <v>1092.6818264922044</v>
      </c>
      <c r="S46" s="115"/>
    </row>
    <row r="47" spans="1:51" s="25" customFormat="1" ht="13.5" thickBot="1" x14ac:dyDescent="0.25">
      <c r="A47" s="52"/>
      <c r="B47" s="64" t="s">
        <v>13</v>
      </c>
      <c r="C47" s="75" t="s">
        <v>30</v>
      </c>
      <c r="D47" s="99">
        <f>D45+D46</f>
        <v>2224.6785145954595</v>
      </c>
      <c r="E47" s="100">
        <f>E45+E46</f>
        <v>1492.15887357324</v>
      </c>
      <c r="F47" s="100">
        <f>F45+F46</f>
        <v>1758.828</v>
      </c>
      <c r="G47" s="100">
        <f>G45+G46</f>
        <v>739.17541205295629</v>
      </c>
      <c r="H47" s="233">
        <f t="shared" si="4"/>
        <v>6214.8408002216565</v>
      </c>
      <c r="I47" s="99">
        <f>I45+I46</f>
        <v>397.2361589971228</v>
      </c>
      <c r="J47" s="100">
        <f>J45+J46</f>
        <v>275.21397341463046</v>
      </c>
      <c r="K47" s="100">
        <f>K45+K46</f>
        <v>373.42457070063699</v>
      </c>
      <c r="L47" s="100">
        <f>L45+L46</f>
        <v>149.94718566500512</v>
      </c>
      <c r="M47" s="233">
        <f>SUM(I47:L47)</f>
        <v>1195.8218887773955</v>
      </c>
      <c r="N47" s="99">
        <f>N45+N46</f>
        <v>2437.6301809103097</v>
      </c>
      <c r="O47" s="100">
        <f>O45+O46</f>
        <v>1633.6814708436746</v>
      </c>
      <c r="P47" s="100">
        <f>P45+P46</f>
        <v>1942.5752080146274</v>
      </c>
      <c r="Q47" s="100">
        <f>Q45+Q46</f>
        <v>788.20409918461371</v>
      </c>
      <c r="R47" s="233">
        <f>SUM(N47:Q47)</f>
        <v>6802.0909589532248</v>
      </c>
      <c r="S47" s="115"/>
    </row>
    <row r="48" spans="1:51" x14ac:dyDescent="0.2">
      <c r="A48" s="65" t="s">
        <v>13</v>
      </c>
      <c r="B48" s="458" t="s">
        <v>13</v>
      </c>
      <c r="C48" s="459"/>
      <c r="D48" s="460" t="s">
        <v>13</v>
      </c>
      <c r="E48" s="461"/>
      <c r="F48" s="462" t="s">
        <v>13</v>
      </c>
      <c r="G48" s="463"/>
      <c r="H48" s="463"/>
      <c r="I48" s="34"/>
      <c r="J48" s="34"/>
      <c r="K48" s="34"/>
      <c r="L48" s="34"/>
      <c r="M48" s="35"/>
      <c r="N48" s="36"/>
      <c r="O48" s="36"/>
      <c r="P48" s="36"/>
      <c r="Q48" s="36"/>
      <c r="R48" s="36"/>
    </row>
    <row r="49" spans="1:25" ht="48" customHeight="1" x14ac:dyDescent="0.2">
      <c r="A49" s="65"/>
      <c r="B49" s="445" t="s">
        <v>84</v>
      </c>
      <c r="C49" s="445"/>
      <c r="D49" s="445"/>
      <c r="E49" s="445"/>
      <c r="F49" s="445"/>
      <c r="G49" s="445"/>
      <c r="H49" s="445"/>
      <c r="I49" s="66"/>
      <c r="J49" s="66"/>
      <c r="K49" s="66"/>
      <c r="L49" s="66"/>
      <c r="M49" s="66"/>
      <c r="N49" s="36"/>
      <c r="O49" s="36"/>
      <c r="P49" s="36"/>
      <c r="Q49" s="36"/>
      <c r="R49" s="70"/>
    </row>
    <row r="50" spans="1:25" ht="37.5" customHeight="1" x14ac:dyDescent="0.2">
      <c r="A50" s="65"/>
      <c r="B50" s="446" t="s">
        <v>65</v>
      </c>
      <c r="C50" s="446"/>
      <c r="D50" s="446"/>
      <c r="E50" s="446"/>
      <c r="F50" s="446"/>
      <c r="G50" s="446"/>
      <c r="H50" s="446"/>
      <c r="I50" s="66"/>
      <c r="J50" s="66"/>
      <c r="K50" s="66"/>
      <c r="L50" s="36"/>
      <c r="M50" s="36"/>
      <c r="N50" s="36"/>
      <c r="O50" s="36"/>
      <c r="P50" s="36"/>
      <c r="Q50" s="36"/>
      <c r="R50" s="36"/>
    </row>
    <row r="51" spans="1:25" ht="31.5" customHeight="1" x14ac:dyDescent="0.2">
      <c r="A51" s="65"/>
      <c r="B51" s="447" t="s">
        <v>31</v>
      </c>
      <c r="C51" s="447"/>
      <c r="D51" s="447"/>
      <c r="E51" s="447"/>
      <c r="F51" s="447"/>
      <c r="G51" s="67"/>
      <c r="H51" s="438" t="s">
        <v>1014</v>
      </c>
      <c r="I51" s="439"/>
      <c r="J51" s="439"/>
      <c r="K51" s="439"/>
      <c r="L51" s="439"/>
      <c r="M51" s="440"/>
      <c r="N51" s="441">
        <f>H45</f>
        <v>5220.0340001847135</v>
      </c>
      <c r="O51" s="442"/>
      <c r="P51" s="443" t="s">
        <v>34</v>
      </c>
      <c r="Q51" s="443"/>
      <c r="S51" s="21"/>
      <c r="T51" s="21"/>
      <c r="U51" s="21"/>
      <c r="V51" s="21"/>
      <c r="W51" s="21"/>
      <c r="X51" s="21"/>
      <c r="Y51" s="21"/>
    </row>
    <row r="52" spans="1:25" ht="39" customHeight="1" x14ac:dyDescent="0.2">
      <c r="A52" s="36"/>
      <c r="B52" s="437" t="s">
        <v>72</v>
      </c>
      <c r="C52" s="437"/>
      <c r="D52" s="68"/>
      <c r="E52" s="68"/>
      <c r="F52" s="204" t="s">
        <v>68</v>
      </c>
      <c r="G52" s="36"/>
      <c r="H52" s="438" t="s">
        <v>75</v>
      </c>
      <c r="I52" s="439"/>
      <c r="J52" s="439"/>
      <c r="K52" s="439"/>
      <c r="L52" s="439"/>
      <c r="M52" s="440"/>
      <c r="N52" s="441">
        <f>R43</f>
        <v>5709.4091324610217</v>
      </c>
      <c r="O52" s="442"/>
      <c r="P52" s="443" t="s">
        <v>34</v>
      </c>
      <c r="Q52" s="443"/>
      <c r="S52" s="21"/>
    </row>
    <row r="53" spans="1:25" ht="45" customHeight="1" x14ac:dyDescent="0.2">
      <c r="A53" s="36"/>
      <c r="B53" s="68"/>
      <c r="C53" s="68"/>
      <c r="D53" s="68"/>
      <c r="E53" s="68"/>
      <c r="S53" s="21"/>
    </row>
    <row r="54" spans="1:25" ht="45" customHeight="1" x14ac:dyDescent="0.2">
      <c r="A54" s="36"/>
      <c r="B54" s="36"/>
      <c r="C54" s="36"/>
      <c r="D54" s="36"/>
      <c r="E54" s="36"/>
      <c r="F54" s="36"/>
      <c r="G54" s="36"/>
      <c r="S54" s="21"/>
    </row>
    <row r="55" spans="1:25" ht="19.5" customHeight="1" x14ac:dyDescent="0.25">
      <c r="J55" s="10"/>
      <c r="K55" s="10"/>
      <c r="L55" s="444"/>
      <c r="M55" s="444"/>
      <c r="N55" s="11"/>
      <c r="O55" s="11"/>
      <c r="P55" s="11"/>
      <c r="S55" s="22"/>
    </row>
  </sheetData>
  <mergeCells count="48">
    <mergeCell ref="A1:M1"/>
    <mergeCell ref="N1:R1"/>
    <mergeCell ref="A2:M2"/>
    <mergeCell ref="N2:R4"/>
    <mergeCell ref="A3:B3"/>
    <mergeCell ref="C3:H3"/>
    <mergeCell ref="A4:B4"/>
    <mergeCell ref="C4:H4"/>
    <mergeCell ref="A36:C36"/>
    <mergeCell ref="N5:R5"/>
    <mergeCell ref="A7:R7"/>
    <mergeCell ref="A8:H8"/>
    <mergeCell ref="A9:A10"/>
    <mergeCell ref="B9:B10"/>
    <mergeCell ref="C9:C10"/>
    <mergeCell ref="D9:H9"/>
    <mergeCell ref="I9:M9"/>
    <mergeCell ref="N9:R9"/>
    <mergeCell ref="A12:C12"/>
    <mergeCell ref="A15:C15"/>
    <mergeCell ref="A21:C21"/>
    <mergeCell ref="A25:C25"/>
    <mergeCell ref="A31:C31"/>
    <mergeCell ref="AO43:AR43"/>
    <mergeCell ref="B48:C48"/>
    <mergeCell ref="D48:E48"/>
    <mergeCell ref="F48:H48"/>
    <mergeCell ref="A40:C40"/>
    <mergeCell ref="T43:T44"/>
    <mergeCell ref="U43:X43"/>
    <mergeCell ref="Y43:Y44"/>
    <mergeCell ref="Z43:AC43"/>
    <mergeCell ref="AD43:AD44"/>
    <mergeCell ref="P51:Q51"/>
    <mergeCell ref="AE43:AH43"/>
    <mergeCell ref="AI43:AI44"/>
    <mergeCell ref="AJ43:AM43"/>
    <mergeCell ref="AN43:AN44"/>
    <mergeCell ref="B49:H49"/>
    <mergeCell ref="B50:H50"/>
    <mergeCell ref="B51:F51"/>
    <mergeCell ref="H51:M51"/>
    <mergeCell ref="N51:O51"/>
    <mergeCell ref="B52:C52"/>
    <mergeCell ref="H52:M52"/>
    <mergeCell ref="N52:O52"/>
    <mergeCell ref="P52:Q52"/>
    <mergeCell ref="L55:M55"/>
  </mergeCells>
  <conditionalFormatting sqref="AN43:AO43 AO44:AR44 U44:X44 T43:U43 Z44:AC44 AI43:AJ43 AJ44:AM44 AE44:AH44 AD43:AE43 Y43:Z43">
    <cfRule type="cellIs" dxfId="1" priority="1" operator="lessThan">
      <formula>0</formula>
    </cfRule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9" orientation="landscape" r:id="rId1"/>
  <colBreaks count="2" manualBreakCount="2">
    <brk id="18" max="51" man="1"/>
    <brk id="39" max="5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opLeftCell="A10" zoomScale="90" zoomScaleNormal="90" workbookViewId="0">
      <selection activeCell="H31" sqref="H31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  <col min="9" max="9" width="14.5703125" customWidth="1"/>
    <col min="10" max="10" width="26.28515625" customWidth="1"/>
    <col min="13" max="13" width="12.85546875" customWidth="1"/>
    <col min="14" max="14" width="14.28515625" customWidth="1"/>
    <col min="15" max="15" width="11.140625" bestFit="1" customWidth="1"/>
    <col min="16" max="16" width="13" customWidth="1"/>
  </cols>
  <sheetData>
    <row r="1" spans="1:14" x14ac:dyDescent="0.25">
      <c r="A1" s="155"/>
      <c r="B1" s="156"/>
      <c r="C1" s="155"/>
      <c r="D1" s="155"/>
      <c r="E1" s="155"/>
      <c r="F1" s="155"/>
      <c r="G1" s="155"/>
      <c r="H1" s="263" t="s">
        <v>0</v>
      </c>
    </row>
    <row r="2" spans="1:14" x14ac:dyDescent="0.25">
      <c r="A2" s="155"/>
      <c r="B2" s="156"/>
      <c r="C2" s="155"/>
      <c r="D2" s="467" t="s">
        <v>63</v>
      </c>
      <c r="E2" s="467"/>
      <c r="F2" s="467"/>
      <c r="G2" s="467"/>
      <c r="H2" s="467"/>
    </row>
    <row r="3" spans="1:14" x14ac:dyDescent="0.25">
      <c r="A3" s="157"/>
      <c r="B3" s="158"/>
      <c r="C3" s="159"/>
      <c r="D3" s="467"/>
      <c r="E3" s="467"/>
      <c r="F3" s="467"/>
      <c r="G3" s="467"/>
      <c r="H3" s="467"/>
    </row>
    <row r="4" spans="1:14" ht="21" customHeight="1" x14ac:dyDescent="0.25">
      <c r="A4" s="157"/>
      <c r="B4" s="160"/>
      <c r="C4" s="161"/>
      <c r="D4" s="467"/>
      <c r="E4" s="467"/>
      <c r="F4" s="467"/>
      <c r="G4" s="467"/>
      <c r="H4" s="467"/>
    </row>
    <row r="5" spans="1:14" ht="81" customHeight="1" x14ac:dyDescent="0.25">
      <c r="A5" s="157"/>
      <c r="B5" s="160"/>
      <c r="C5" s="161"/>
      <c r="E5" s="162"/>
      <c r="F5" s="163"/>
      <c r="G5" s="163"/>
      <c r="H5" s="164" t="s">
        <v>66</v>
      </c>
    </row>
    <row r="6" spans="1:14" ht="51" customHeight="1" x14ac:dyDescent="0.25">
      <c r="A6" s="509" t="s">
        <v>1064</v>
      </c>
      <c r="B6" s="509"/>
      <c r="C6" s="509"/>
      <c r="D6" s="509"/>
      <c r="E6" s="509"/>
      <c r="F6" s="509"/>
      <c r="G6" s="509"/>
      <c r="H6" s="509"/>
    </row>
    <row r="7" spans="1:14" x14ac:dyDescent="0.25">
      <c r="A7" s="4"/>
      <c r="B7" s="160"/>
      <c r="C7" s="5"/>
      <c r="D7" s="5"/>
      <c r="E7" s="5"/>
      <c r="F7" s="5"/>
      <c r="G7" s="5"/>
      <c r="H7" s="5"/>
    </row>
    <row r="8" spans="1:14" ht="15.75" thickBot="1" x14ac:dyDescent="0.3">
      <c r="A8" s="510" t="s">
        <v>76</v>
      </c>
      <c r="B8" s="510"/>
      <c r="C8" s="510"/>
      <c r="D8" s="510"/>
      <c r="E8" s="510"/>
      <c r="F8" s="510"/>
      <c r="G8" s="510"/>
      <c r="H8" s="510"/>
    </row>
    <row r="9" spans="1:14" ht="15.75" thickBot="1" x14ac:dyDescent="0.3">
      <c r="A9" s="511" t="s">
        <v>1</v>
      </c>
      <c r="B9" s="513" t="s">
        <v>46</v>
      </c>
      <c r="C9" s="515" t="s">
        <v>47</v>
      </c>
      <c r="D9" s="517" t="s">
        <v>48</v>
      </c>
      <c r="E9" s="518"/>
      <c r="F9" s="518"/>
      <c r="G9" s="518"/>
      <c r="H9" s="519" t="s">
        <v>9</v>
      </c>
    </row>
    <row r="10" spans="1:14" ht="21.75" thickBot="1" x14ac:dyDescent="0.3">
      <c r="A10" s="512"/>
      <c r="B10" s="514"/>
      <c r="C10" s="516"/>
      <c r="D10" s="165" t="s">
        <v>5</v>
      </c>
      <c r="E10" s="166" t="s">
        <v>6</v>
      </c>
      <c r="F10" s="166" t="s">
        <v>7</v>
      </c>
      <c r="G10" s="167" t="s">
        <v>8</v>
      </c>
      <c r="H10" s="520"/>
    </row>
    <row r="11" spans="1:14" ht="15.75" thickBot="1" x14ac:dyDescent="0.3">
      <c r="A11" s="168">
        <v>1</v>
      </c>
      <c r="B11" s="169">
        <v>2</v>
      </c>
      <c r="C11" s="170">
        <v>3</v>
      </c>
      <c r="D11" s="171">
        <v>4</v>
      </c>
      <c r="E11" s="172">
        <v>5</v>
      </c>
      <c r="F11" s="172">
        <v>6</v>
      </c>
      <c r="G11" s="173">
        <v>7</v>
      </c>
      <c r="H11" s="174">
        <v>8</v>
      </c>
    </row>
    <row r="12" spans="1:14" x14ac:dyDescent="0.25">
      <c r="A12" s="506" t="s">
        <v>10</v>
      </c>
      <c r="B12" s="500"/>
      <c r="C12" s="501"/>
      <c r="D12" s="209"/>
      <c r="E12" s="210"/>
      <c r="F12" s="210"/>
      <c r="G12" s="210"/>
      <c r="H12" s="211"/>
    </row>
    <row r="13" spans="1:14" x14ac:dyDescent="0.25">
      <c r="A13" s="175"/>
      <c r="B13" s="176"/>
      <c r="C13" s="177"/>
      <c r="D13" s="280"/>
      <c r="E13" s="281"/>
      <c r="F13" s="281"/>
      <c r="G13" s="281">
        <v>0</v>
      </c>
      <c r="H13" s="282">
        <f>SUM(D13:G13)</f>
        <v>0</v>
      </c>
    </row>
    <row r="14" spans="1:14" x14ac:dyDescent="0.25">
      <c r="A14" s="499" t="s">
        <v>12</v>
      </c>
      <c r="B14" s="500"/>
      <c r="C14" s="501"/>
      <c r="D14" s="283"/>
      <c r="E14" s="284"/>
      <c r="F14" s="284"/>
      <c r="G14" s="284"/>
      <c r="H14" s="285"/>
      <c r="K14" s="264"/>
      <c r="L14" s="264"/>
      <c r="M14" s="394" t="s">
        <v>1059</v>
      </c>
      <c r="N14" s="268"/>
    </row>
    <row r="15" spans="1:14" x14ac:dyDescent="0.25">
      <c r="A15" s="47">
        <v>1</v>
      </c>
      <c r="B15" s="48" t="s">
        <v>70</v>
      </c>
      <c r="C15" s="178" t="s">
        <v>929</v>
      </c>
      <c r="D15" s="286">
        <f>'Расчет стоимости'!I16</f>
        <v>21.711893695920889</v>
      </c>
      <c r="E15" s="281">
        <f>'Расчет стоимости'!J16</f>
        <v>6.2431409147095183</v>
      </c>
      <c r="F15" s="287">
        <v>0</v>
      </c>
      <c r="G15" s="288">
        <v>0</v>
      </c>
      <c r="H15" s="282">
        <f>SUM(D15:G15)</f>
        <v>27.955034610630406</v>
      </c>
      <c r="I15" s="507" t="s">
        <v>1021</v>
      </c>
      <c r="J15" s="508"/>
      <c r="M15" s="397">
        <f>'Расчет стоимости'!K16</f>
        <v>302.1231422505308</v>
      </c>
    </row>
    <row r="16" spans="1:14" x14ac:dyDescent="0.25">
      <c r="A16" s="47">
        <v>2</v>
      </c>
      <c r="B16" s="48" t="s">
        <v>70</v>
      </c>
      <c r="C16" s="178" t="s">
        <v>928</v>
      </c>
      <c r="D16" s="289">
        <f>'Расчет стоимости'!I18</f>
        <v>66.409728464419473</v>
      </c>
      <c r="E16" s="287">
        <f>'Расчет стоимости'!J18-M16</f>
        <v>103.7593707865169</v>
      </c>
      <c r="F16" s="281"/>
      <c r="G16" s="281">
        <v>0</v>
      </c>
      <c r="H16" s="282">
        <f>SUM(D16:G16)</f>
        <v>170.16909925093637</v>
      </c>
      <c r="I16" s="507" t="s">
        <v>1063</v>
      </c>
      <c r="J16" s="508"/>
      <c r="L16" s="396">
        <f>'[2]Локальная смета'!F359</f>
        <v>533172.19999999995</v>
      </c>
      <c r="M16" s="395">
        <f>L16/5.34/1000</f>
        <v>99.844981273408237</v>
      </c>
    </row>
    <row r="17" spans="1:13" x14ac:dyDescent="0.25">
      <c r="A17" s="499" t="s">
        <v>15</v>
      </c>
      <c r="B17" s="500"/>
      <c r="C17" s="501"/>
      <c r="D17" s="283"/>
      <c r="E17" s="284"/>
      <c r="F17" s="284"/>
      <c r="G17" s="284"/>
      <c r="H17" s="293"/>
    </row>
    <row r="18" spans="1:13" ht="30" x14ac:dyDescent="0.25">
      <c r="A18" s="175">
        <v>3</v>
      </c>
      <c r="B18" s="48" t="s">
        <v>1026</v>
      </c>
      <c r="C18" s="181" t="s">
        <v>195</v>
      </c>
      <c r="D18" s="286">
        <f>(D15+D16)*2.5%</f>
        <v>2.2030405540085094</v>
      </c>
      <c r="E18" s="281">
        <f>(E15+E16)*2.5%</f>
        <v>2.7500627925306604</v>
      </c>
      <c r="F18" s="281"/>
      <c r="G18" s="281"/>
      <c r="H18" s="292">
        <f>SUM(D18:G18)</f>
        <v>4.9531033465391694</v>
      </c>
      <c r="I18" s="507" t="s">
        <v>1022</v>
      </c>
      <c r="J18" s="508"/>
      <c r="M18">
        <f>'Расчет стоимости'!I17</f>
        <v>215.73475690607737</v>
      </c>
    </row>
    <row r="19" spans="1:13" x14ac:dyDescent="0.25">
      <c r="A19" s="499" t="s">
        <v>18</v>
      </c>
      <c r="B19" s="500"/>
      <c r="C19" s="501"/>
      <c r="D19" s="283"/>
      <c r="E19" s="284"/>
      <c r="F19" s="284"/>
      <c r="G19" s="284"/>
      <c r="H19" s="293"/>
    </row>
    <row r="20" spans="1:13" ht="30" x14ac:dyDescent="0.25">
      <c r="A20" s="179">
        <v>4</v>
      </c>
      <c r="B20" s="49" t="s">
        <v>1027</v>
      </c>
      <c r="C20" s="177" t="s">
        <v>1030</v>
      </c>
      <c r="D20" s="290">
        <f>(D15+D16+D18)*3.19%</f>
        <v>2.8813567405877287</v>
      </c>
      <c r="E20" s="291">
        <f>(E15+E16+E18)*3.19%</f>
        <v>3.5968071263508503</v>
      </c>
      <c r="F20" s="291"/>
      <c r="G20" s="291"/>
      <c r="H20" s="292">
        <f>SUM(D20:G20)</f>
        <v>6.478163866938579</v>
      </c>
    </row>
    <row r="21" spans="1:13" x14ac:dyDescent="0.25">
      <c r="A21" s="179">
        <v>5</v>
      </c>
      <c r="B21" s="48" t="s">
        <v>70</v>
      </c>
      <c r="C21" s="177" t="s">
        <v>1023</v>
      </c>
      <c r="D21" s="290"/>
      <c r="E21" s="291"/>
      <c r="F21" s="291"/>
      <c r="G21" s="291">
        <f>'Расчет стоимости'!L28</f>
        <v>0.79606976744186053</v>
      </c>
      <c r="H21" s="292">
        <f>SUM(D21:G21)</f>
        <v>0.79606976744186053</v>
      </c>
    </row>
    <row r="22" spans="1:13" ht="21.75" customHeight="1" x14ac:dyDescent="0.25">
      <c r="A22" s="182"/>
      <c r="B22" s="180" t="s">
        <v>13</v>
      </c>
      <c r="C22" s="183" t="s">
        <v>49</v>
      </c>
      <c r="D22" s="294">
        <f>SUM(D15:D21)</f>
        <v>93.206019454936609</v>
      </c>
      <c r="E22" s="295">
        <f>SUM(E15:E21)</f>
        <v>116.34938162010792</v>
      </c>
      <c r="F22" s="295">
        <f t="shared" ref="F22:G22" si="0">SUM(F15:F21)</f>
        <v>0</v>
      </c>
      <c r="G22" s="295">
        <f t="shared" si="0"/>
        <v>0.79606976744186053</v>
      </c>
      <c r="H22" s="296">
        <f>SUM(D22:G22)</f>
        <v>210.35147084248638</v>
      </c>
    </row>
    <row r="23" spans="1:13" ht="30" x14ac:dyDescent="0.25">
      <c r="A23" s="179">
        <v>6</v>
      </c>
      <c r="B23" s="184" t="s">
        <v>50</v>
      </c>
      <c r="C23" s="177" t="s">
        <v>51</v>
      </c>
      <c r="D23" s="290">
        <f>D22*1.5%</f>
        <v>1.398090291824049</v>
      </c>
      <c r="E23" s="291">
        <f>E22*1.5%</f>
        <v>1.7452407243016188</v>
      </c>
      <c r="F23" s="291">
        <f>F22*1.5%</f>
        <v>0</v>
      </c>
      <c r="G23" s="291">
        <f>G22*1.5%</f>
        <v>1.1941046511627907E-2</v>
      </c>
      <c r="H23" s="292">
        <f>D23+E23+F23+G23</f>
        <v>3.1552720626372959</v>
      </c>
    </row>
    <row r="24" spans="1:13" x14ac:dyDescent="0.25">
      <c r="A24" s="179"/>
      <c r="B24" s="180" t="s">
        <v>13</v>
      </c>
      <c r="C24" s="177" t="s">
        <v>52</v>
      </c>
      <c r="D24" s="297">
        <f>D22+D23</f>
        <v>94.604109746760656</v>
      </c>
      <c r="E24" s="298">
        <f>E22+E23</f>
        <v>118.09462234440954</v>
      </c>
      <c r="F24" s="298">
        <f>F22+F23</f>
        <v>0</v>
      </c>
      <c r="G24" s="298">
        <f>G22+G23</f>
        <v>0.80801081395348839</v>
      </c>
      <c r="H24" s="296">
        <f>SUM(D24:G24)</f>
        <v>213.5067429051237</v>
      </c>
    </row>
    <row r="25" spans="1:13" ht="30" x14ac:dyDescent="0.25">
      <c r="A25" s="185"/>
      <c r="B25" s="186"/>
      <c r="C25" s="401" t="s">
        <v>1060</v>
      </c>
      <c r="D25" s="299">
        <v>5.4</v>
      </c>
      <c r="E25" s="300">
        <v>5.4</v>
      </c>
      <c r="F25" s="300"/>
      <c r="G25" s="300"/>
      <c r="H25" s="282"/>
      <c r="M25" s="306"/>
    </row>
    <row r="26" spans="1:13" ht="30" x14ac:dyDescent="0.25">
      <c r="A26" s="185"/>
      <c r="B26" s="186"/>
      <c r="C26" s="189" t="s">
        <v>1062</v>
      </c>
      <c r="D26" s="299">
        <v>8.19</v>
      </c>
      <c r="E26" s="300">
        <v>8.19</v>
      </c>
      <c r="F26" s="300">
        <v>4.71</v>
      </c>
      <c r="G26" s="300">
        <v>16.55</v>
      </c>
      <c r="H26" s="282"/>
      <c r="M26" s="306"/>
    </row>
    <row r="27" spans="1:13" x14ac:dyDescent="0.25">
      <c r="A27" s="229"/>
      <c r="B27" s="186"/>
      <c r="C27" s="187" t="s">
        <v>1061</v>
      </c>
      <c r="D27" s="297">
        <f>D15*1.025*1.0319*1.015*D26+D16*1.025*1.0319*1.015*D25</f>
        <v>575.89453955282875</v>
      </c>
      <c r="E27" s="298">
        <f t="shared" ref="E27:F27" si="1">E15*1.025*1.0319*1.015*E26+E16*1.025*1.0319*1.015*E25</f>
        <v>656.41067020721596</v>
      </c>
      <c r="F27" s="298">
        <f t="shared" si="1"/>
        <v>0</v>
      </c>
      <c r="G27" s="298">
        <f>G24*G26</f>
        <v>13.372578970930233</v>
      </c>
      <c r="H27" s="317">
        <f>SUM(D27:G27)</f>
        <v>1245.677788730975</v>
      </c>
      <c r="M27" s="398">
        <f>(M15)*1.015*F26+M16*1.025*1.0319*1.015*E25+M18*1.025*1.0319*1.015*5.43</f>
        <v>3280.7846259168409</v>
      </c>
    </row>
    <row r="28" spans="1:13" ht="34.5" customHeight="1" x14ac:dyDescent="0.25">
      <c r="A28" s="185"/>
      <c r="B28" s="188" t="s">
        <v>13</v>
      </c>
      <c r="C28" s="189" t="s">
        <v>77</v>
      </c>
      <c r="D28" s="301">
        <f>1.036</f>
        <v>1.036</v>
      </c>
      <c r="E28" s="302">
        <v>1.036</v>
      </c>
      <c r="F28" s="302">
        <v>1.036</v>
      </c>
      <c r="G28" s="302">
        <v>1.036</v>
      </c>
      <c r="H28" s="318"/>
      <c r="M28" s="306">
        <f>D28</f>
        <v>1.036</v>
      </c>
    </row>
    <row r="29" spans="1:13" x14ac:dyDescent="0.25">
      <c r="A29" s="228"/>
      <c r="B29" s="188"/>
      <c r="C29" s="187" t="s">
        <v>78</v>
      </c>
      <c r="D29" s="294">
        <f>D27*D28</f>
        <v>596.62674297673061</v>
      </c>
      <c r="E29" s="295">
        <f>E27*E28</f>
        <v>680.04145433467579</v>
      </c>
      <c r="F29" s="295">
        <f>F27*F28</f>
        <v>0</v>
      </c>
      <c r="G29" s="295">
        <f>G27*G28</f>
        <v>13.853991813883722</v>
      </c>
      <c r="H29" s="317">
        <f>SUM(D29:G29)</f>
        <v>1290.5221891252902</v>
      </c>
      <c r="M29" s="398">
        <f>M27*M28</f>
        <v>3398.8928724498473</v>
      </c>
    </row>
    <row r="30" spans="1:13" x14ac:dyDescent="0.25">
      <c r="A30" s="185"/>
      <c r="B30" s="188"/>
      <c r="C30" s="187" t="s">
        <v>69</v>
      </c>
      <c r="D30" s="303">
        <f>D29*0.2</f>
        <v>119.32534859534613</v>
      </c>
      <c r="E30" s="291">
        <f>E29*0.2</f>
        <v>136.00829086693517</v>
      </c>
      <c r="F30" s="291">
        <f t="shared" ref="F30:G30" si="2">F29*0.2</f>
        <v>0</v>
      </c>
      <c r="G30" s="291">
        <f t="shared" si="2"/>
        <v>2.7707983627767447</v>
      </c>
      <c r="H30" s="318">
        <f>SUM(D30:G30)</f>
        <v>258.10443782505803</v>
      </c>
    </row>
    <row r="31" spans="1:13" ht="39.75" customHeight="1" thickBot="1" x14ac:dyDescent="0.3">
      <c r="A31" s="185"/>
      <c r="B31" s="188"/>
      <c r="C31" s="189" t="s">
        <v>53</v>
      </c>
      <c r="D31" s="304">
        <f>D29+D30</f>
        <v>715.95209157207671</v>
      </c>
      <c r="E31" s="305">
        <f>E29+E30</f>
        <v>816.0497452016109</v>
      </c>
      <c r="F31" s="305">
        <f t="shared" ref="F31:G31" si="3">F29+F30</f>
        <v>0</v>
      </c>
      <c r="G31" s="305">
        <f t="shared" si="3"/>
        <v>16.624790176660468</v>
      </c>
      <c r="H31" s="319">
        <f>SUM(D31:G31)</f>
        <v>1548.6266269503481</v>
      </c>
    </row>
    <row r="32" spans="1:13" x14ac:dyDescent="0.25">
      <c r="A32" s="190" t="s">
        <v>13</v>
      </c>
      <c r="B32" s="191" t="s">
        <v>13</v>
      </c>
      <c r="C32" s="192"/>
      <c r="D32" s="502" t="s">
        <v>13</v>
      </c>
      <c r="E32" s="503"/>
      <c r="F32" s="504" t="s">
        <v>13</v>
      </c>
      <c r="G32" s="505"/>
      <c r="H32" s="505"/>
    </row>
    <row r="33" spans="1:8" x14ac:dyDescent="0.25">
      <c r="A33" s="190"/>
      <c r="B33" s="193"/>
      <c r="C33" s="265"/>
      <c r="D33" s="265"/>
      <c r="E33" s="265"/>
      <c r="F33" s="265"/>
      <c r="G33" s="265"/>
      <c r="H33" s="265"/>
    </row>
    <row r="34" spans="1:8" ht="54" customHeight="1" x14ac:dyDescent="0.25">
      <c r="A34" s="190"/>
      <c r="B34" s="248" t="s">
        <v>54</v>
      </c>
      <c r="C34" s="247" t="s">
        <v>32</v>
      </c>
      <c r="E34" s="194" t="s">
        <v>67</v>
      </c>
      <c r="F34" s="69"/>
      <c r="G34" s="69"/>
      <c r="H34" s="69"/>
    </row>
    <row r="35" spans="1:8" x14ac:dyDescent="0.25">
      <c r="A35" s="190"/>
      <c r="B35" s="193"/>
      <c r="C35" s="265"/>
      <c r="D35" s="265"/>
      <c r="E35" s="265"/>
      <c r="F35" s="265"/>
      <c r="G35" s="265"/>
      <c r="H35" s="265"/>
    </row>
    <row r="36" spans="1:8" ht="15.75" x14ac:dyDescent="0.25">
      <c r="A36" s="1"/>
      <c r="B36" s="194" t="s">
        <v>55</v>
      </c>
      <c r="C36" s="195" t="s">
        <v>85</v>
      </c>
      <c r="E36" s="195" t="s">
        <v>86</v>
      </c>
      <c r="F36" s="23"/>
      <c r="G36" s="23"/>
      <c r="H36" s="263"/>
    </row>
    <row r="37" spans="1:8" ht="14.25" customHeight="1" x14ac:dyDescent="0.25">
      <c r="A37" s="1"/>
      <c r="B37" s="196"/>
      <c r="C37" s="1"/>
      <c r="D37" s="1"/>
      <c r="E37" s="1"/>
      <c r="F37" s="1"/>
      <c r="G37" s="263"/>
      <c r="H37" s="263"/>
    </row>
    <row r="38" spans="1:8" x14ac:dyDescent="0.25">
      <c r="A38" s="1"/>
      <c r="C38" s="23"/>
      <c r="D38" s="23"/>
      <c r="E38" s="23"/>
      <c r="F38" s="23"/>
      <c r="G38" s="9"/>
      <c r="H38" s="9"/>
    </row>
    <row r="39" spans="1:8" ht="39" customHeight="1" x14ac:dyDescent="0.25">
      <c r="A39" s="1"/>
      <c r="B39" s="194" t="s">
        <v>80</v>
      </c>
      <c r="C39" s="236" t="s">
        <v>73</v>
      </c>
      <c r="E39" s="194" t="s">
        <v>56</v>
      </c>
      <c r="F39" s="197"/>
      <c r="G39" s="1"/>
      <c r="H39" s="197"/>
    </row>
    <row r="41" spans="1:8" hidden="1" x14ac:dyDescent="0.25"/>
    <row r="42" spans="1:8" hidden="1" x14ac:dyDescent="0.25"/>
    <row r="43" spans="1:8" hidden="1" x14ac:dyDescent="0.25"/>
    <row r="44" spans="1:8" hidden="1" x14ac:dyDescent="0.25"/>
    <row r="45" spans="1:8" hidden="1" x14ac:dyDescent="0.25"/>
    <row r="46" spans="1:8" hidden="1" x14ac:dyDescent="0.25"/>
    <row r="47" spans="1:8" hidden="1" x14ac:dyDescent="0.25"/>
    <row r="48" spans="1:8" hidden="1" x14ac:dyDescent="0.25"/>
    <row r="49" spans="3:16" hidden="1" x14ac:dyDescent="0.25"/>
    <row r="50" spans="3:16" hidden="1" x14ac:dyDescent="0.25"/>
    <row r="51" spans="3:16" hidden="1" x14ac:dyDescent="0.25"/>
    <row r="52" spans="3:16" hidden="1" x14ac:dyDescent="0.25"/>
    <row r="53" spans="3:16" hidden="1" x14ac:dyDescent="0.25"/>
    <row r="54" spans="3:16" hidden="1" x14ac:dyDescent="0.25"/>
    <row r="55" spans="3:16" hidden="1" x14ac:dyDescent="0.25"/>
    <row r="56" spans="3:16" hidden="1" x14ac:dyDescent="0.25"/>
    <row r="57" spans="3:16" hidden="1" x14ac:dyDescent="0.25"/>
    <row r="58" spans="3:16" x14ac:dyDescent="0.25">
      <c r="C58" s="178" t="s">
        <v>929</v>
      </c>
      <c r="D58">
        <v>7.56</v>
      </c>
      <c r="E58">
        <v>7.56</v>
      </c>
      <c r="F58">
        <v>4.4400000000000004</v>
      </c>
      <c r="M58">
        <v>7.56</v>
      </c>
    </row>
    <row r="59" spans="3:16" x14ac:dyDescent="0.25">
      <c r="C59" s="178" t="s">
        <v>225</v>
      </c>
      <c r="D59">
        <v>5.08</v>
      </c>
      <c r="E59">
        <v>5.08</v>
      </c>
      <c r="F59">
        <v>4.4400000000000004</v>
      </c>
      <c r="G59">
        <v>8.74</v>
      </c>
      <c r="M59">
        <v>5.08</v>
      </c>
    </row>
    <row r="60" spans="3:16" x14ac:dyDescent="0.25">
      <c r="C60" s="178" t="s">
        <v>928</v>
      </c>
      <c r="D60">
        <v>4.99</v>
      </c>
      <c r="E60">
        <v>4.99</v>
      </c>
      <c r="F60">
        <v>4.4400000000000004</v>
      </c>
      <c r="G60">
        <v>15.23</v>
      </c>
      <c r="M60">
        <v>4.99</v>
      </c>
    </row>
    <row r="61" spans="3:16" x14ac:dyDescent="0.25">
      <c r="D61" s="395">
        <f>(D15)*1.025*1.0319*1.015*D58+D16*1.025*1.0319*1.015*D60</f>
        <v>531.97885587476776</v>
      </c>
      <c r="E61" s="395">
        <f>(E15)*1.025*1.0352*1.015*E58+E16*1.025*1.0352*1.015*E60</f>
        <v>608.45697892835619</v>
      </c>
      <c r="F61" s="398">
        <f>(F15)*1.015*F58+F16*1.025*1.0319*1.015*F60</f>
        <v>0</v>
      </c>
      <c r="G61" s="398">
        <f>G24*G60</f>
        <v>12.306004696511629</v>
      </c>
      <c r="H61" s="398">
        <f>SUM(D61:G61)</f>
        <v>1152.7418394996355</v>
      </c>
      <c r="M61" s="398">
        <f>M18*1.025*1.0319*1.015*M59+M16*1.025*1.0352*1.015*M60+(M15)*1.015*4.44</f>
        <v>3074.6887645852889</v>
      </c>
      <c r="N61" s="395">
        <f>M18*1.025*1.0319*1.015*M59</f>
        <v>1176.5526112705929</v>
      </c>
      <c r="O61" s="395">
        <f>M16*1.025*1.0352*1.015*M60</f>
        <v>536.58800044845373</v>
      </c>
      <c r="P61">
        <f>(M15)*1.015*4.44</f>
        <v>1361.5481528662422</v>
      </c>
    </row>
    <row r="62" spans="3:16" x14ac:dyDescent="0.25">
      <c r="D62">
        <f>1.053*1.074*1.036</f>
        <v>1.1716351920000001</v>
      </c>
      <c r="E62">
        <f t="shared" ref="E62:G62" si="4">1.053*1.074*1.036</f>
        <v>1.1716351920000001</v>
      </c>
      <c r="F62">
        <f t="shared" si="4"/>
        <v>1.1716351920000001</v>
      </c>
      <c r="G62">
        <f t="shared" si="4"/>
        <v>1.1716351920000001</v>
      </c>
      <c r="M62">
        <f t="shared" ref="M62:P62" si="5">1.053*1.074*1.036</f>
        <v>1.1716351920000001</v>
      </c>
      <c r="N62">
        <f t="shared" si="5"/>
        <v>1.1716351920000001</v>
      </c>
      <c r="O62">
        <f t="shared" si="5"/>
        <v>1.1716351920000001</v>
      </c>
      <c r="P62">
        <f t="shared" si="5"/>
        <v>1.1716351920000001</v>
      </c>
    </row>
    <row r="63" spans="3:16" x14ac:dyDescent="0.25">
      <c r="D63" s="398">
        <f>D61*D62</f>
        <v>623.28514894277396</v>
      </c>
      <c r="E63" s="398">
        <f t="shared" ref="E63:G63" si="6">E61*E62</f>
        <v>712.88960933046462</v>
      </c>
      <c r="F63" s="398">
        <f t="shared" si="6"/>
        <v>0</v>
      </c>
      <c r="G63" s="398">
        <f t="shared" si="6"/>
        <v>14.418148175350305</v>
      </c>
      <c r="H63" s="398">
        <f>SUM(D63:G63)</f>
        <v>1350.592906448589</v>
      </c>
      <c r="M63" s="398">
        <f t="shared" ref="M63:P63" si="7">M61*M62</f>
        <v>3602.4135610351282</v>
      </c>
      <c r="N63" s="398">
        <f t="shared" si="7"/>
        <v>1378.4904446041226</v>
      </c>
      <c r="O63" s="398">
        <f t="shared" si="7"/>
        <v>628.6853849303202</v>
      </c>
      <c r="P63" s="398">
        <f t="shared" si="7"/>
        <v>1595.2377315006852</v>
      </c>
    </row>
  </sheetData>
  <mergeCells count="17">
    <mergeCell ref="I15:J15"/>
    <mergeCell ref="I18:J18"/>
    <mergeCell ref="I16:J16"/>
    <mergeCell ref="D2:H4"/>
    <mergeCell ref="A6:H6"/>
    <mergeCell ref="A8:H8"/>
    <mergeCell ref="A9:A10"/>
    <mergeCell ref="B9:B10"/>
    <mergeCell ref="C9:C10"/>
    <mergeCell ref="D9:G9"/>
    <mergeCell ref="H9:H10"/>
    <mergeCell ref="A19:C19"/>
    <mergeCell ref="D32:E32"/>
    <mergeCell ref="F32:H32"/>
    <mergeCell ref="A12:C12"/>
    <mergeCell ref="A14:C14"/>
    <mergeCell ref="A17:C17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6"/>
  <sheetViews>
    <sheetView topLeftCell="A4" workbookViewId="0">
      <selection activeCell="F15" sqref="F15:F16"/>
    </sheetView>
  </sheetViews>
  <sheetFormatPr defaultRowHeight="15" x14ac:dyDescent="0.25"/>
  <cols>
    <col min="2" max="2" width="27.7109375" customWidth="1"/>
    <col min="6" max="6" width="13.7109375" customWidth="1"/>
    <col min="7" max="7" width="13" customWidth="1"/>
    <col min="8" max="8" width="15" customWidth="1"/>
    <col min="9" max="9" width="11.7109375" bestFit="1" customWidth="1"/>
    <col min="10" max="10" width="13.28515625" customWidth="1"/>
    <col min="13" max="13" width="18.42578125" customWidth="1"/>
    <col min="16" max="16" width="18.42578125" customWidth="1"/>
  </cols>
  <sheetData>
    <row r="1" spans="1:10" x14ac:dyDescent="0.25">
      <c r="A1" s="521"/>
      <c r="B1" s="521"/>
      <c r="C1" s="521"/>
      <c r="D1" s="521"/>
    </row>
    <row r="2" spans="1:10" x14ac:dyDescent="0.25">
      <c r="A2" s="404"/>
      <c r="B2" s="521"/>
      <c r="C2" s="521"/>
      <c r="D2" s="521"/>
    </row>
    <row r="3" spans="1:10" x14ac:dyDescent="0.25">
      <c r="A3" s="522" t="s">
        <v>89</v>
      </c>
      <c r="B3" s="522"/>
      <c r="C3" s="522"/>
      <c r="D3" s="522"/>
    </row>
    <row r="4" spans="1:10" x14ac:dyDescent="0.25">
      <c r="A4" s="523" t="s">
        <v>90</v>
      </c>
      <c r="B4" s="523"/>
      <c r="C4" s="523"/>
      <c r="D4" s="523"/>
    </row>
    <row r="5" spans="1:10" ht="105" customHeight="1" x14ac:dyDescent="0.25">
      <c r="A5" s="523" t="s">
        <v>1099</v>
      </c>
      <c r="B5" s="523"/>
      <c r="C5" s="523"/>
      <c r="D5" s="523"/>
      <c r="E5" s="523"/>
      <c r="F5" s="523"/>
      <c r="G5" s="523"/>
      <c r="H5" s="523"/>
      <c r="I5" s="523"/>
      <c r="J5" s="523"/>
    </row>
    <row r="6" spans="1:10" x14ac:dyDescent="0.25">
      <c r="G6" s="524" t="s">
        <v>91</v>
      </c>
      <c r="H6" s="524"/>
      <c r="I6" s="392" t="s">
        <v>1066</v>
      </c>
      <c r="J6" s="403" t="s">
        <v>87</v>
      </c>
    </row>
    <row r="7" spans="1:10" x14ac:dyDescent="0.25">
      <c r="G7" s="524" t="s">
        <v>92</v>
      </c>
      <c r="H7" s="524"/>
      <c r="I7" s="392" t="s">
        <v>931</v>
      </c>
      <c r="J7" s="403" t="s">
        <v>87</v>
      </c>
    </row>
    <row r="8" spans="1:10" ht="21" customHeight="1" x14ac:dyDescent="0.25">
      <c r="G8" s="524" t="s">
        <v>93</v>
      </c>
      <c r="H8" s="524"/>
      <c r="I8" s="392" t="s">
        <v>1067</v>
      </c>
      <c r="J8" s="403" t="s">
        <v>94</v>
      </c>
    </row>
    <row r="9" spans="1:10" ht="21" customHeight="1" x14ac:dyDescent="0.25">
      <c r="G9" s="524" t="s">
        <v>95</v>
      </c>
      <c r="H9" s="524"/>
      <c r="I9" s="392" t="s">
        <v>1068</v>
      </c>
      <c r="J9" s="403" t="s">
        <v>87</v>
      </c>
    </row>
    <row r="10" spans="1:10" ht="31.5" customHeight="1" x14ac:dyDescent="0.25">
      <c r="A10" s="523" t="s">
        <v>345</v>
      </c>
      <c r="B10" s="523"/>
      <c r="C10" s="523"/>
      <c r="D10" s="523"/>
      <c r="E10" s="523"/>
      <c r="F10" s="523"/>
      <c r="G10" s="523"/>
      <c r="H10" s="523"/>
      <c r="I10" s="523"/>
      <c r="J10" s="523"/>
    </row>
    <row r="11" spans="1:10" x14ac:dyDescent="0.25">
      <c r="A11" s="521" t="s">
        <v>1098</v>
      </c>
      <c r="B11" s="521"/>
      <c r="C11" s="521"/>
      <c r="D11" s="521"/>
    </row>
    <row r="12" spans="1:10" x14ac:dyDescent="0.25">
      <c r="A12" s="265"/>
      <c r="B12" s="265"/>
      <c r="C12" s="265"/>
      <c r="D12" s="265"/>
    </row>
    <row r="13" spans="1:10" ht="15.75" thickBot="1" x14ac:dyDescent="0.3">
      <c r="A13" s="241"/>
    </row>
    <row r="14" spans="1:10" ht="21.75" thickBot="1" x14ac:dyDescent="0.3">
      <c r="A14" s="528" t="s">
        <v>96</v>
      </c>
      <c r="B14" s="242" t="s">
        <v>97</v>
      </c>
      <c r="C14" s="528" t="s">
        <v>932</v>
      </c>
      <c r="D14" s="525" t="s">
        <v>100</v>
      </c>
      <c r="E14" s="527"/>
      <c r="F14" s="525" t="s">
        <v>101</v>
      </c>
      <c r="G14" s="526"/>
      <c r="H14" s="527"/>
      <c r="I14" s="525" t="s">
        <v>102</v>
      </c>
      <c r="J14" s="527"/>
    </row>
    <row r="15" spans="1:10" ht="15.75" thickBot="1" x14ac:dyDescent="0.3">
      <c r="A15" s="531"/>
      <c r="B15" s="243" t="s">
        <v>98</v>
      </c>
      <c r="C15" s="531"/>
      <c r="D15" s="244" t="s">
        <v>103</v>
      </c>
      <c r="E15" s="244" t="s">
        <v>104</v>
      </c>
      <c r="F15" s="528" t="s">
        <v>103</v>
      </c>
      <c r="G15" s="528" t="s">
        <v>105</v>
      </c>
      <c r="H15" s="244" t="s">
        <v>104</v>
      </c>
      <c r="I15" s="525" t="s">
        <v>106</v>
      </c>
      <c r="J15" s="527"/>
    </row>
    <row r="16" spans="1:10" ht="42.75" thickBot="1" x14ac:dyDescent="0.3">
      <c r="A16" s="529"/>
      <c r="B16" s="244" t="s">
        <v>99</v>
      </c>
      <c r="C16" s="529"/>
      <c r="D16" s="244" t="s">
        <v>105</v>
      </c>
      <c r="E16" s="244" t="s">
        <v>107</v>
      </c>
      <c r="F16" s="529"/>
      <c r="G16" s="529"/>
      <c r="H16" s="244" t="s">
        <v>107</v>
      </c>
      <c r="I16" s="244" t="s">
        <v>108</v>
      </c>
      <c r="J16" s="244" t="s">
        <v>103</v>
      </c>
    </row>
    <row r="17" spans="1:10" ht="15.75" thickBot="1" x14ac:dyDescent="0.3">
      <c r="A17" s="245"/>
    </row>
    <row r="18" spans="1:10" ht="15.75" thickBot="1" x14ac:dyDescent="0.3">
      <c r="A18" s="246">
        <v>1</v>
      </c>
      <c r="B18" s="405">
        <v>2</v>
      </c>
      <c r="C18" s="405">
        <v>3</v>
      </c>
      <c r="D18" s="405">
        <v>4</v>
      </c>
      <c r="E18" s="405">
        <v>5</v>
      </c>
      <c r="F18" s="405">
        <v>6</v>
      </c>
      <c r="G18" s="405">
        <v>7</v>
      </c>
      <c r="H18" s="405">
        <v>8</v>
      </c>
      <c r="I18" s="405">
        <v>9</v>
      </c>
      <c r="J18" s="405">
        <v>10</v>
      </c>
    </row>
    <row r="19" spans="1:10" x14ac:dyDescent="0.25">
      <c r="A19" s="530"/>
      <c r="B19" s="530"/>
      <c r="C19" s="530"/>
      <c r="D19" s="530"/>
      <c r="E19" s="530"/>
      <c r="F19" s="530"/>
      <c r="G19" s="530"/>
      <c r="H19" s="530"/>
      <c r="I19" s="530"/>
      <c r="J19" s="530"/>
    </row>
    <row r="20" spans="1:10" x14ac:dyDescent="0.25">
      <c r="A20" s="403"/>
      <c r="B20" s="532" t="s">
        <v>346</v>
      </c>
      <c r="C20" s="532"/>
      <c r="D20" s="532"/>
      <c r="E20" s="532"/>
      <c r="F20" s="532"/>
      <c r="G20" s="532"/>
      <c r="H20" s="532"/>
      <c r="I20" s="532"/>
      <c r="J20" s="532"/>
    </row>
    <row r="21" spans="1:10" x14ac:dyDescent="0.25">
      <c r="A21" s="521"/>
      <c r="B21" s="521"/>
      <c r="C21" s="521"/>
      <c r="D21" s="521"/>
      <c r="E21" s="521"/>
      <c r="F21" s="521"/>
      <c r="G21" s="521"/>
      <c r="H21" s="521"/>
      <c r="I21" s="521"/>
      <c r="J21" s="521"/>
    </row>
    <row r="22" spans="1:10" x14ac:dyDescent="0.25">
      <c r="A22" s="524" t="s">
        <v>109</v>
      </c>
      <c r="B22" s="403" t="s">
        <v>347</v>
      </c>
      <c r="C22" s="524">
        <v>2</v>
      </c>
      <c r="D22" s="533" t="s">
        <v>349</v>
      </c>
      <c r="E22" s="533" t="s">
        <v>350</v>
      </c>
      <c r="F22" s="524" t="s">
        <v>351</v>
      </c>
      <c r="G22" s="524" t="s">
        <v>352</v>
      </c>
      <c r="H22" s="533" t="s">
        <v>353</v>
      </c>
      <c r="I22" s="534">
        <v>2.56</v>
      </c>
      <c r="J22" s="534">
        <v>5.12</v>
      </c>
    </row>
    <row r="23" spans="1:10" ht="21" x14ac:dyDescent="0.25">
      <c r="A23" s="524"/>
      <c r="B23" s="403" t="s">
        <v>226</v>
      </c>
      <c r="C23" s="524"/>
      <c r="D23" s="533"/>
      <c r="E23" s="533"/>
      <c r="F23" s="524"/>
      <c r="G23" s="524"/>
      <c r="H23" s="533"/>
      <c r="I23" s="534"/>
      <c r="J23" s="534"/>
    </row>
    <row r="24" spans="1:10" ht="31.5" x14ac:dyDescent="0.25">
      <c r="A24" s="524"/>
      <c r="B24" s="403" t="s">
        <v>348</v>
      </c>
      <c r="C24" s="524"/>
      <c r="D24" s="404" t="s">
        <v>354</v>
      </c>
      <c r="E24" s="404" t="s">
        <v>355</v>
      </c>
      <c r="F24" s="524"/>
      <c r="G24" s="524"/>
      <c r="H24" s="404" t="s">
        <v>356</v>
      </c>
      <c r="I24" s="415">
        <v>2.63</v>
      </c>
      <c r="J24" s="415">
        <v>5.26</v>
      </c>
    </row>
    <row r="25" spans="1:10" x14ac:dyDescent="0.25">
      <c r="A25" s="521"/>
      <c r="B25" s="521"/>
      <c r="C25" s="521"/>
      <c r="D25" s="521"/>
      <c r="E25" s="521"/>
      <c r="F25" s="521"/>
      <c r="G25" s="521"/>
      <c r="H25" s="521"/>
      <c r="I25" s="521"/>
      <c r="J25" s="521"/>
    </row>
    <row r="26" spans="1:10" x14ac:dyDescent="0.25">
      <c r="A26" s="524" t="s">
        <v>110</v>
      </c>
      <c r="B26" s="406" t="s">
        <v>357</v>
      </c>
      <c r="C26" s="524">
        <v>6</v>
      </c>
      <c r="D26" s="533" t="s">
        <v>359</v>
      </c>
      <c r="E26" s="533" t="s">
        <v>360</v>
      </c>
      <c r="F26" s="524" t="s">
        <v>361</v>
      </c>
      <c r="G26" s="524" t="s">
        <v>362</v>
      </c>
      <c r="H26" s="533" t="s">
        <v>363</v>
      </c>
      <c r="I26" s="534">
        <v>2.0299999999999998</v>
      </c>
      <c r="J26" s="534">
        <v>12.18</v>
      </c>
    </row>
    <row r="27" spans="1:10" ht="22.5" x14ac:dyDescent="0.25">
      <c r="A27" s="524"/>
      <c r="B27" s="406" t="s">
        <v>226</v>
      </c>
      <c r="C27" s="524"/>
      <c r="D27" s="533"/>
      <c r="E27" s="533"/>
      <c r="F27" s="524"/>
      <c r="G27" s="524"/>
      <c r="H27" s="533"/>
      <c r="I27" s="534"/>
      <c r="J27" s="534"/>
    </row>
    <row r="28" spans="1:10" ht="22.5" x14ac:dyDescent="0.25">
      <c r="A28" s="524"/>
      <c r="B28" s="406" t="s">
        <v>358</v>
      </c>
      <c r="C28" s="524"/>
      <c r="D28" s="404" t="s">
        <v>364</v>
      </c>
      <c r="E28" s="404" t="s">
        <v>365</v>
      </c>
      <c r="F28" s="524"/>
      <c r="G28" s="524"/>
      <c r="H28" s="404" t="s">
        <v>366</v>
      </c>
      <c r="I28" s="404" t="s">
        <v>367</v>
      </c>
      <c r="J28" s="415">
        <v>2.7</v>
      </c>
    </row>
    <row r="29" spans="1:10" x14ac:dyDescent="0.25">
      <c r="A29" s="521"/>
      <c r="B29" s="521"/>
      <c r="C29" s="521"/>
      <c r="D29" s="521"/>
      <c r="E29" s="521"/>
      <c r="F29" s="521"/>
      <c r="G29" s="521"/>
      <c r="H29" s="521"/>
      <c r="I29" s="521"/>
      <c r="J29" s="521"/>
    </row>
    <row r="30" spans="1:10" x14ac:dyDescent="0.25">
      <c r="A30" s="524" t="s">
        <v>115</v>
      </c>
      <c r="B30" s="406" t="s">
        <v>232</v>
      </c>
      <c r="C30" s="524" t="s">
        <v>368</v>
      </c>
      <c r="D30" s="391" t="s">
        <v>369</v>
      </c>
      <c r="E30" s="391" t="s">
        <v>370</v>
      </c>
      <c r="F30" s="524" t="s">
        <v>371</v>
      </c>
      <c r="G30" s="524" t="s">
        <v>372</v>
      </c>
      <c r="H30" s="391" t="s">
        <v>373</v>
      </c>
      <c r="I30" s="391" t="s">
        <v>230</v>
      </c>
      <c r="J30" s="391" t="s">
        <v>374</v>
      </c>
    </row>
    <row r="31" spans="1:10" ht="43.5" x14ac:dyDescent="0.25">
      <c r="A31" s="524"/>
      <c r="B31" s="406" t="s">
        <v>233</v>
      </c>
      <c r="C31" s="524"/>
      <c r="D31" s="404" t="s">
        <v>375</v>
      </c>
      <c r="E31" s="404" t="s">
        <v>376</v>
      </c>
      <c r="F31" s="524"/>
      <c r="G31" s="524"/>
      <c r="H31" s="404" t="s">
        <v>377</v>
      </c>
      <c r="I31" s="404" t="s">
        <v>231</v>
      </c>
      <c r="J31" s="404" t="s">
        <v>378</v>
      </c>
    </row>
    <row r="32" spans="1:10" x14ac:dyDescent="0.25">
      <c r="A32" s="403"/>
      <c r="B32" s="407" t="s">
        <v>379</v>
      </c>
      <c r="C32" s="403"/>
      <c r="D32" s="403"/>
      <c r="E32" s="403"/>
      <c r="F32" s="403"/>
      <c r="G32" s="403"/>
      <c r="H32" s="403"/>
      <c r="I32" s="403"/>
      <c r="J32" s="403"/>
    </row>
    <row r="33" spans="1:10" x14ac:dyDescent="0.25">
      <c r="A33" s="521"/>
      <c r="B33" s="521"/>
      <c r="C33" s="521"/>
      <c r="D33" s="521"/>
      <c r="E33" s="521"/>
      <c r="F33" s="521"/>
      <c r="G33" s="521"/>
      <c r="H33" s="521"/>
      <c r="I33" s="521"/>
      <c r="J33" s="521"/>
    </row>
    <row r="34" spans="1:10" x14ac:dyDescent="0.25">
      <c r="A34" s="524" t="s">
        <v>119</v>
      </c>
      <c r="B34" s="406" t="s">
        <v>228</v>
      </c>
      <c r="C34" s="524" t="s">
        <v>368</v>
      </c>
      <c r="D34" s="391" t="s">
        <v>369</v>
      </c>
      <c r="E34" s="391" t="s">
        <v>370</v>
      </c>
      <c r="F34" s="524" t="s">
        <v>371</v>
      </c>
      <c r="G34" s="524" t="s">
        <v>372</v>
      </c>
      <c r="H34" s="391" t="s">
        <v>373</v>
      </c>
      <c r="I34" s="391" t="s">
        <v>230</v>
      </c>
      <c r="J34" s="391" t="s">
        <v>374</v>
      </c>
    </row>
    <row r="35" spans="1:10" ht="43.5" x14ac:dyDescent="0.25">
      <c r="A35" s="524"/>
      <c r="B35" s="406" t="s">
        <v>229</v>
      </c>
      <c r="C35" s="524"/>
      <c r="D35" s="404" t="s">
        <v>375</v>
      </c>
      <c r="E35" s="404" t="s">
        <v>376</v>
      </c>
      <c r="F35" s="524"/>
      <c r="G35" s="524"/>
      <c r="H35" s="404" t="s">
        <v>377</v>
      </c>
      <c r="I35" s="404" t="s">
        <v>231</v>
      </c>
      <c r="J35" s="404" t="s">
        <v>378</v>
      </c>
    </row>
    <row r="36" spans="1:10" x14ac:dyDescent="0.25">
      <c r="A36" s="403"/>
      <c r="B36" s="407" t="s">
        <v>379</v>
      </c>
      <c r="C36" s="403"/>
      <c r="D36" s="403"/>
      <c r="E36" s="403"/>
      <c r="F36" s="403"/>
      <c r="G36" s="403"/>
      <c r="H36" s="403"/>
      <c r="I36" s="403"/>
      <c r="J36" s="403"/>
    </row>
    <row r="37" spans="1:10" x14ac:dyDescent="0.25">
      <c r="A37" s="521"/>
      <c r="B37" s="521"/>
      <c r="C37" s="521"/>
      <c r="D37" s="521"/>
      <c r="E37" s="521"/>
      <c r="F37" s="521"/>
      <c r="G37" s="521"/>
      <c r="H37" s="521"/>
      <c r="I37" s="521"/>
      <c r="J37" s="521"/>
    </row>
    <row r="38" spans="1:10" x14ac:dyDescent="0.25">
      <c r="A38" s="535" t="s">
        <v>122</v>
      </c>
      <c r="B38" s="406" t="s">
        <v>234</v>
      </c>
      <c r="C38" s="535">
        <v>4</v>
      </c>
      <c r="D38" s="408" t="s">
        <v>380</v>
      </c>
      <c r="E38" s="408" t="s">
        <v>381</v>
      </c>
      <c r="F38" s="535" t="s">
        <v>382</v>
      </c>
      <c r="G38" s="535" t="s">
        <v>383</v>
      </c>
      <c r="H38" s="408" t="s">
        <v>384</v>
      </c>
      <c r="I38" s="408" t="s">
        <v>236</v>
      </c>
      <c r="J38" s="408" t="s">
        <v>385</v>
      </c>
    </row>
    <row r="39" spans="1:10" ht="33" x14ac:dyDescent="0.25">
      <c r="A39" s="535"/>
      <c r="B39" s="406" t="s">
        <v>235</v>
      </c>
      <c r="C39" s="535"/>
      <c r="D39" s="407" t="s">
        <v>386</v>
      </c>
      <c r="E39" s="407" t="s">
        <v>387</v>
      </c>
      <c r="F39" s="535"/>
      <c r="G39" s="535"/>
      <c r="H39" s="407" t="s">
        <v>388</v>
      </c>
      <c r="I39" s="407" t="s">
        <v>237</v>
      </c>
      <c r="J39" s="407" t="s">
        <v>389</v>
      </c>
    </row>
    <row r="40" spans="1:10" x14ac:dyDescent="0.25">
      <c r="A40" s="536"/>
      <c r="B40" s="536"/>
      <c r="C40" s="536"/>
      <c r="D40" s="536"/>
      <c r="E40" s="536"/>
      <c r="F40" s="536"/>
      <c r="G40" s="536"/>
      <c r="H40" s="536"/>
      <c r="I40" s="536"/>
      <c r="J40" s="536"/>
    </row>
    <row r="41" spans="1:10" x14ac:dyDescent="0.25">
      <c r="A41" s="535" t="s">
        <v>125</v>
      </c>
      <c r="B41" s="406" t="s">
        <v>238</v>
      </c>
      <c r="C41" s="535">
        <v>4</v>
      </c>
      <c r="D41" s="408" t="s">
        <v>390</v>
      </c>
      <c r="E41" s="408" t="s">
        <v>381</v>
      </c>
      <c r="F41" s="535" t="s">
        <v>391</v>
      </c>
      <c r="G41" s="535" t="s">
        <v>392</v>
      </c>
      <c r="H41" s="408" t="s">
        <v>384</v>
      </c>
      <c r="I41" s="408" t="s">
        <v>237</v>
      </c>
      <c r="J41" s="408" t="s">
        <v>389</v>
      </c>
    </row>
    <row r="42" spans="1:10" ht="33" x14ac:dyDescent="0.25">
      <c r="A42" s="535"/>
      <c r="B42" s="406" t="s">
        <v>239</v>
      </c>
      <c r="C42" s="535"/>
      <c r="D42" s="407" t="s">
        <v>393</v>
      </c>
      <c r="E42" s="407" t="s">
        <v>387</v>
      </c>
      <c r="F42" s="535"/>
      <c r="G42" s="535"/>
      <c r="H42" s="407" t="s">
        <v>388</v>
      </c>
      <c r="I42" s="407" t="s">
        <v>237</v>
      </c>
      <c r="J42" s="407" t="s">
        <v>389</v>
      </c>
    </row>
    <row r="43" spans="1:10" x14ac:dyDescent="0.25">
      <c r="A43" s="521"/>
      <c r="B43" s="521"/>
      <c r="C43" s="521"/>
      <c r="D43" s="521"/>
      <c r="E43" s="521"/>
      <c r="F43" s="521"/>
      <c r="G43" s="521"/>
      <c r="H43" s="521"/>
      <c r="I43" s="521"/>
      <c r="J43" s="521"/>
    </row>
    <row r="44" spans="1:10" x14ac:dyDescent="0.25">
      <c r="A44" s="535" t="s">
        <v>130</v>
      </c>
      <c r="B44" s="406" t="s">
        <v>327</v>
      </c>
      <c r="C44" s="535" t="s">
        <v>394</v>
      </c>
      <c r="D44" s="407"/>
      <c r="E44" s="407"/>
      <c r="F44" s="535"/>
      <c r="G44" s="535"/>
      <c r="H44" s="407"/>
      <c r="I44" s="407"/>
      <c r="J44" s="407"/>
    </row>
    <row r="45" spans="1:10" ht="75" x14ac:dyDescent="0.25">
      <c r="A45" s="535"/>
      <c r="B45" s="406" t="s">
        <v>328</v>
      </c>
      <c r="C45" s="535"/>
      <c r="D45" s="407"/>
      <c r="E45" s="407"/>
      <c r="F45" s="535"/>
      <c r="G45" s="535"/>
      <c r="H45" s="407"/>
      <c r="I45" s="407"/>
      <c r="J45" s="407"/>
    </row>
    <row r="46" spans="1:10" x14ac:dyDescent="0.25">
      <c r="A46" s="536"/>
      <c r="B46" s="536"/>
      <c r="C46" s="536"/>
      <c r="D46" s="536"/>
      <c r="E46" s="536"/>
      <c r="F46" s="536"/>
      <c r="G46" s="536"/>
      <c r="H46" s="536"/>
      <c r="I46" s="536"/>
      <c r="J46" s="536"/>
    </row>
    <row r="47" spans="1:10" x14ac:dyDescent="0.25">
      <c r="A47" s="535" t="s">
        <v>132</v>
      </c>
      <c r="B47" s="406" t="s">
        <v>133</v>
      </c>
      <c r="C47" s="535" t="s">
        <v>394</v>
      </c>
      <c r="D47" s="537" t="s">
        <v>395</v>
      </c>
      <c r="E47" s="537" t="s">
        <v>396</v>
      </c>
      <c r="F47" s="535" t="s">
        <v>397</v>
      </c>
      <c r="G47" s="535" t="s">
        <v>398</v>
      </c>
      <c r="H47" s="537" t="s">
        <v>399</v>
      </c>
      <c r="I47" s="537" t="s">
        <v>135</v>
      </c>
      <c r="J47" s="537" t="s">
        <v>400</v>
      </c>
    </row>
    <row r="48" spans="1:10" ht="22.5" x14ac:dyDescent="0.25">
      <c r="A48" s="535"/>
      <c r="B48" s="406" t="s">
        <v>226</v>
      </c>
      <c r="C48" s="535"/>
      <c r="D48" s="537"/>
      <c r="E48" s="537"/>
      <c r="F48" s="535"/>
      <c r="G48" s="535"/>
      <c r="H48" s="537"/>
      <c r="I48" s="537"/>
      <c r="J48" s="537"/>
    </row>
    <row r="49" spans="1:10" ht="54" x14ac:dyDescent="0.25">
      <c r="A49" s="535"/>
      <c r="B49" s="406" t="s">
        <v>134</v>
      </c>
      <c r="C49" s="535"/>
      <c r="D49" s="407" t="s">
        <v>401</v>
      </c>
      <c r="E49" s="407" t="s">
        <v>402</v>
      </c>
      <c r="F49" s="535"/>
      <c r="G49" s="535"/>
      <c r="H49" s="407" t="s">
        <v>403</v>
      </c>
      <c r="I49" s="407" t="s">
        <v>136</v>
      </c>
      <c r="J49" s="407" t="s">
        <v>404</v>
      </c>
    </row>
    <row r="50" spans="1:10" x14ac:dyDescent="0.25">
      <c r="A50" s="536"/>
      <c r="B50" s="536"/>
      <c r="C50" s="536"/>
      <c r="D50" s="536"/>
      <c r="E50" s="536"/>
      <c r="F50" s="536"/>
      <c r="G50" s="536"/>
      <c r="H50" s="536"/>
      <c r="I50" s="536"/>
      <c r="J50" s="536"/>
    </row>
    <row r="51" spans="1:10" x14ac:dyDescent="0.25">
      <c r="A51" s="535" t="s">
        <v>137</v>
      </c>
      <c r="B51" s="406" t="s">
        <v>126</v>
      </c>
      <c r="C51" s="535">
        <v>9</v>
      </c>
      <c r="D51" s="537" t="s">
        <v>405</v>
      </c>
      <c r="E51" s="537" t="s">
        <v>406</v>
      </c>
      <c r="F51" s="535" t="s">
        <v>407</v>
      </c>
      <c r="G51" s="535" t="s">
        <v>408</v>
      </c>
      <c r="H51" s="537" t="s">
        <v>409</v>
      </c>
      <c r="I51" s="537" t="s">
        <v>128</v>
      </c>
      <c r="J51" s="538">
        <v>2.25</v>
      </c>
    </row>
    <row r="52" spans="1:10" ht="22.5" x14ac:dyDescent="0.25">
      <c r="A52" s="535"/>
      <c r="B52" s="406" t="s">
        <v>226</v>
      </c>
      <c r="C52" s="535"/>
      <c r="D52" s="537"/>
      <c r="E52" s="537"/>
      <c r="F52" s="535"/>
      <c r="G52" s="535"/>
      <c r="H52" s="537"/>
      <c r="I52" s="537"/>
      <c r="J52" s="538"/>
    </row>
    <row r="53" spans="1:10" ht="54" x14ac:dyDescent="0.25">
      <c r="A53" s="535"/>
      <c r="B53" s="406" t="s">
        <v>127</v>
      </c>
      <c r="C53" s="535"/>
      <c r="D53" s="407" t="s">
        <v>410</v>
      </c>
      <c r="E53" s="407" t="s">
        <v>411</v>
      </c>
      <c r="F53" s="535"/>
      <c r="G53" s="535"/>
      <c r="H53" s="407" t="s">
        <v>412</v>
      </c>
      <c r="I53" s="407" t="s">
        <v>129</v>
      </c>
      <c r="J53" s="416">
        <v>1.26</v>
      </c>
    </row>
    <row r="54" spans="1:10" x14ac:dyDescent="0.25">
      <c r="A54" s="536"/>
      <c r="B54" s="536"/>
      <c r="C54" s="536"/>
      <c r="D54" s="536"/>
      <c r="E54" s="536"/>
      <c r="F54" s="536"/>
      <c r="G54" s="536"/>
      <c r="H54" s="536"/>
      <c r="I54" s="536"/>
      <c r="J54" s="536"/>
    </row>
    <row r="55" spans="1:10" x14ac:dyDescent="0.25">
      <c r="A55" s="535" t="s">
        <v>142</v>
      </c>
      <c r="B55" s="406" t="s">
        <v>138</v>
      </c>
      <c r="C55" s="535">
        <v>9</v>
      </c>
      <c r="D55" s="537" t="s">
        <v>413</v>
      </c>
      <c r="E55" s="537" t="s">
        <v>414</v>
      </c>
      <c r="F55" s="535" t="s">
        <v>415</v>
      </c>
      <c r="G55" s="535" t="s">
        <v>416</v>
      </c>
      <c r="H55" s="537" t="s">
        <v>417</v>
      </c>
      <c r="I55" s="537" t="s">
        <v>140</v>
      </c>
      <c r="J55" s="538">
        <v>2.7</v>
      </c>
    </row>
    <row r="56" spans="1:10" ht="22.5" x14ac:dyDescent="0.25">
      <c r="A56" s="535"/>
      <c r="B56" s="406" t="s">
        <v>226</v>
      </c>
      <c r="C56" s="535"/>
      <c r="D56" s="537"/>
      <c r="E56" s="537"/>
      <c r="F56" s="535"/>
      <c r="G56" s="535"/>
      <c r="H56" s="537"/>
      <c r="I56" s="537"/>
      <c r="J56" s="538"/>
    </row>
    <row r="57" spans="1:10" ht="54" x14ac:dyDescent="0.25">
      <c r="A57" s="535"/>
      <c r="B57" s="406" t="s">
        <v>139</v>
      </c>
      <c r="C57" s="535"/>
      <c r="D57" s="407" t="s">
        <v>418</v>
      </c>
      <c r="E57" s="407" t="s">
        <v>419</v>
      </c>
      <c r="F57" s="535"/>
      <c r="G57" s="535"/>
      <c r="H57" s="407" t="s">
        <v>420</v>
      </c>
      <c r="I57" s="407" t="s">
        <v>141</v>
      </c>
      <c r="J57" s="416">
        <v>1.44</v>
      </c>
    </row>
    <row r="58" spans="1:10" x14ac:dyDescent="0.25">
      <c r="A58" s="536"/>
      <c r="B58" s="536"/>
      <c r="C58" s="536"/>
      <c r="D58" s="536"/>
      <c r="E58" s="536"/>
      <c r="F58" s="536"/>
      <c r="G58" s="536"/>
      <c r="H58" s="536"/>
      <c r="I58" s="536"/>
      <c r="J58" s="536"/>
    </row>
    <row r="59" spans="1:10" x14ac:dyDescent="0.25">
      <c r="A59" s="535" t="s">
        <v>143</v>
      </c>
      <c r="B59" s="406" t="s">
        <v>116</v>
      </c>
      <c r="C59" s="535">
        <v>9</v>
      </c>
      <c r="D59" s="537" t="s">
        <v>421</v>
      </c>
      <c r="E59" s="537" t="s">
        <v>422</v>
      </c>
      <c r="F59" s="535" t="s">
        <v>423</v>
      </c>
      <c r="G59" s="535" t="s">
        <v>424</v>
      </c>
      <c r="H59" s="537" t="s">
        <v>425</v>
      </c>
      <c r="I59" s="538">
        <v>3.8</v>
      </c>
      <c r="J59" s="537" t="s">
        <v>426</v>
      </c>
    </row>
    <row r="60" spans="1:10" ht="22.5" x14ac:dyDescent="0.25">
      <c r="A60" s="535"/>
      <c r="B60" s="406" t="s">
        <v>226</v>
      </c>
      <c r="C60" s="535"/>
      <c r="D60" s="537"/>
      <c r="E60" s="537"/>
      <c r="F60" s="535"/>
      <c r="G60" s="535"/>
      <c r="H60" s="537"/>
      <c r="I60" s="538"/>
      <c r="J60" s="537"/>
    </row>
    <row r="61" spans="1:10" ht="43.5" x14ac:dyDescent="0.25">
      <c r="A61" s="535"/>
      <c r="B61" s="406" t="s">
        <v>117</v>
      </c>
      <c r="C61" s="535"/>
      <c r="D61" s="407" t="s">
        <v>427</v>
      </c>
      <c r="E61" s="407" t="s">
        <v>428</v>
      </c>
      <c r="F61" s="535"/>
      <c r="G61" s="535"/>
      <c r="H61" s="407" t="s">
        <v>429</v>
      </c>
      <c r="I61" s="407" t="s">
        <v>118</v>
      </c>
      <c r="J61" s="416">
        <v>7.02</v>
      </c>
    </row>
    <row r="62" spans="1:10" x14ac:dyDescent="0.25">
      <c r="A62" s="536"/>
      <c r="B62" s="536"/>
      <c r="C62" s="536"/>
      <c r="D62" s="536"/>
      <c r="E62" s="536"/>
      <c r="F62" s="536"/>
      <c r="G62" s="536"/>
      <c r="H62" s="536"/>
      <c r="I62" s="536"/>
      <c r="J62" s="536"/>
    </row>
    <row r="63" spans="1:10" x14ac:dyDescent="0.25">
      <c r="A63" s="535" t="s">
        <v>144</v>
      </c>
      <c r="B63" s="406" t="s">
        <v>120</v>
      </c>
      <c r="C63" s="535">
        <v>5</v>
      </c>
      <c r="D63" s="537" t="s">
        <v>430</v>
      </c>
      <c r="E63" s="537" t="s">
        <v>431</v>
      </c>
      <c r="F63" s="535" t="s">
        <v>432</v>
      </c>
      <c r="G63" s="535" t="s">
        <v>433</v>
      </c>
      <c r="H63" s="537" t="s">
        <v>434</v>
      </c>
      <c r="I63" s="538">
        <v>7.9</v>
      </c>
      <c r="J63" s="537" t="s">
        <v>435</v>
      </c>
    </row>
    <row r="64" spans="1:10" ht="22.5" x14ac:dyDescent="0.25">
      <c r="A64" s="535"/>
      <c r="B64" s="406" t="s">
        <v>226</v>
      </c>
      <c r="C64" s="535"/>
      <c r="D64" s="537"/>
      <c r="E64" s="537"/>
      <c r="F64" s="535"/>
      <c r="G64" s="535"/>
      <c r="H64" s="537"/>
      <c r="I64" s="538"/>
      <c r="J64" s="537"/>
    </row>
    <row r="65" spans="1:10" ht="54" x14ac:dyDescent="0.25">
      <c r="A65" s="535"/>
      <c r="B65" s="406" t="s">
        <v>121</v>
      </c>
      <c r="C65" s="535"/>
      <c r="D65" s="407" t="s">
        <v>436</v>
      </c>
      <c r="E65" s="407" t="s">
        <v>437</v>
      </c>
      <c r="F65" s="535"/>
      <c r="G65" s="535"/>
      <c r="H65" s="407" t="s">
        <v>438</v>
      </c>
      <c r="I65" s="416">
        <v>1.86</v>
      </c>
      <c r="J65" s="416">
        <v>9.3000000000000007</v>
      </c>
    </row>
    <row r="66" spans="1:10" x14ac:dyDescent="0.25">
      <c r="A66" s="536"/>
      <c r="B66" s="536"/>
      <c r="C66" s="536"/>
      <c r="D66" s="536"/>
      <c r="E66" s="536"/>
      <c r="F66" s="536"/>
      <c r="G66" s="536"/>
      <c r="H66" s="536"/>
      <c r="I66" s="536"/>
      <c r="J66" s="536"/>
    </row>
    <row r="67" spans="1:10" x14ac:dyDescent="0.25">
      <c r="A67" s="535" t="s">
        <v>149</v>
      </c>
      <c r="B67" s="406" t="s">
        <v>123</v>
      </c>
      <c r="C67" s="535">
        <v>4</v>
      </c>
      <c r="D67" s="537" t="s">
        <v>439</v>
      </c>
      <c r="E67" s="537" t="s">
        <v>440</v>
      </c>
      <c r="F67" s="535" t="s">
        <v>441</v>
      </c>
      <c r="G67" s="535" t="s">
        <v>442</v>
      </c>
      <c r="H67" s="537" t="s">
        <v>443</v>
      </c>
      <c r="I67" s="538">
        <v>12.11</v>
      </c>
      <c r="J67" s="537" t="s">
        <v>444</v>
      </c>
    </row>
    <row r="68" spans="1:10" ht="22.5" x14ac:dyDescent="0.25">
      <c r="A68" s="535"/>
      <c r="B68" s="406" t="s">
        <v>226</v>
      </c>
      <c r="C68" s="535"/>
      <c r="D68" s="537"/>
      <c r="E68" s="537"/>
      <c r="F68" s="535"/>
      <c r="G68" s="535"/>
      <c r="H68" s="537"/>
      <c r="I68" s="538"/>
      <c r="J68" s="537"/>
    </row>
    <row r="69" spans="1:10" ht="54" x14ac:dyDescent="0.25">
      <c r="A69" s="535"/>
      <c r="B69" s="406" t="s">
        <v>124</v>
      </c>
      <c r="C69" s="535"/>
      <c r="D69" s="407" t="s">
        <v>445</v>
      </c>
      <c r="E69" s="407" t="s">
        <v>446</v>
      </c>
      <c r="F69" s="535"/>
      <c r="G69" s="535"/>
      <c r="H69" s="407" t="s">
        <v>447</v>
      </c>
      <c r="I69" s="416">
        <v>3.01</v>
      </c>
      <c r="J69" s="416">
        <v>12.04</v>
      </c>
    </row>
    <row r="70" spans="1:10" x14ac:dyDescent="0.25">
      <c r="A70" s="536"/>
      <c r="B70" s="536"/>
      <c r="C70" s="536"/>
      <c r="D70" s="536"/>
      <c r="E70" s="536"/>
      <c r="F70" s="536"/>
      <c r="G70" s="536"/>
      <c r="H70" s="536"/>
      <c r="I70" s="536"/>
      <c r="J70" s="536"/>
    </row>
    <row r="71" spans="1:10" x14ac:dyDescent="0.25">
      <c r="A71" s="535" t="s">
        <v>150</v>
      </c>
      <c r="B71" s="406" t="s">
        <v>448</v>
      </c>
      <c r="C71" s="535">
        <v>14</v>
      </c>
      <c r="D71" s="537" t="s">
        <v>450</v>
      </c>
      <c r="E71" s="537" t="s">
        <v>451</v>
      </c>
      <c r="F71" s="535" t="s">
        <v>452</v>
      </c>
      <c r="G71" s="535" t="s">
        <v>453</v>
      </c>
      <c r="H71" s="537" t="s">
        <v>454</v>
      </c>
      <c r="I71" s="538">
        <v>4.38</v>
      </c>
      <c r="J71" s="537" t="s">
        <v>455</v>
      </c>
    </row>
    <row r="72" spans="1:10" ht="22.5" x14ac:dyDescent="0.25">
      <c r="A72" s="535"/>
      <c r="B72" s="406" t="s">
        <v>226</v>
      </c>
      <c r="C72" s="535"/>
      <c r="D72" s="537"/>
      <c r="E72" s="537"/>
      <c r="F72" s="535"/>
      <c r="G72" s="535"/>
      <c r="H72" s="537"/>
      <c r="I72" s="538"/>
      <c r="J72" s="537"/>
    </row>
    <row r="73" spans="1:10" ht="22.5" x14ac:dyDescent="0.25">
      <c r="A73" s="535"/>
      <c r="B73" s="406" t="s">
        <v>449</v>
      </c>
      <c r="C73" s="535"/>
      <c r="D73" s="407" t="s">
        <v>456</v>
      </c>
      <c r="E73" s="407"/>
      <c r="F73" s="535"/>
      <c r="G73" s="535"/>
      <c r="H73" s="407"/>
      <c r="I73" s="407"/>
      <c r="J73" s="407"/>
    </row>
    <row r="74" spans="1:10" x14ac:dyDescent="0.25">
      <c r="A74" s="536"/>
      <c r="B74" s="536"/>
      <c r="C74" s="536"/>
      <c r="D74" s="536"/>
      <c r="E74" s="536"/>
      <c r="F74" s="536"/>
      <c r="G74" s="536"/>
      <c r="H74" s="536"/>
      <c r="I74" s="536"/>
      <c r="J74" s="536"/>
    </row>
    <row r="75" spans="1:10" x14ac:dyDescent="0.25">
      <c r="A75" s="535" t="s">
        <v>151</v>
      </c>
      <c r="B75" s="406" t="s">
        <v>457</v>
      </c>
      <c r="C75" s="535">
        <v>2</v>
      </c>
      <c r="D75" s="537" t="s">
        <v>459</v>
      </c>
      <c r="E75" s="537" t="s">
        <v>460</v>
      </c>
      <c r="F75" s="535" t="s">
        <v>461</v>
      </c>
      <c r="G75" s="535" t="s">
        <v>462</v>
      </c>
      <c r="H75" s="537" t="s">
        <v>463</v>
      </c>
      <c r="I75" s="538">
        <v>7.42</v>
      </c>
      <c r="J75" s="537" t="s">
        <v>464</v>
      </c>
    </row>
    <row r="76" spans="1:10" ht="22.5" x14ac:dyDescent="0.25">
      <c r="A76" s="535"/>
      <c r="B76" s="406" t="s">
        <v>226</v>
      </c>
      <c r="C76" s="535"/>
      <c r="D76" s="537"/>
      <c r="E76" s="537"/>
      <c r="F76" s="535"/>
      <c r="G76" s="535"/>
      <c r="H76" s="537"/>
      <c r="I76" s="538"/>
      <c r="J76" s="537"/>
    </row>
    <row r="77" spans="1:10" ht="22.5" x14ac:dyDescent="0.25">
      <c r="A77" s="535"/>
      <c r="B77" s="406" t="s">
        <v>458</v>
      </c>
      <c r="C77" s="535"/>
      <c r="D77" s="407" t="s">
        <v>465</v>
      </c>
      <c r="E77" s="407"/>
      <c r="F77" s="535"/>
      <c r="G77" s="535"/>
      <c r="H77" s="407"/>
      <c r="I77" s="407"/>
      <c r="J77" s="407"/>
    </row>
    <row r="78" spans="1:10" x14ac:dyDescent="0.25">
      <c r="A78" s="536"/>
      <c r="B78" s="536"/>
      <c r="C78" s="536"/>
      <c r="D78" s="536"/>
      <c r="E78" s="536"/>
      <c r="F78" s="536"/>
      <c r="G78" s="536"/>
      <c r="H78" s="536"/>
      <c r="I78" s="536"/>
      <c r="J78" s="536"/>
    </row>
    <row r="79" spans="1:10" x14ac:dyDescent="0.25">
      <c r="A79" s="535" t="s">
        <v>152</v>
      </c>
      <c r="B79" s="406" t="s">
        <v>277</v>
      </c>
      <c r="C79" s="535" t="s">
        <v>466</v>
      </c>
      <c r="D79" s="537" t="s">
        <v>467</v>
      </c>
      <c r="E79" s="537" t="s">
        <v>468</v>
      </c>
      <c r="F79" s="535" t="s">
        <v>469</v>
      </c>
      <c r="G79" s="535" t="s">
        <v>470</v>
      </c>
      <c r="H79" s="537" t="s">
        <v>471</v>
      </c>
      <c r="I79" s="538">
        <v>1.8</v>
      </c>
      <c r="J79" s="537" t="s">
        <v>472</v>
      </c>
    </row>
    <row r="80" spans="1:10" ht="22.5" x14ac:dyDescent="0.25">
      <c r="A80" s="535"/>
      <c r="B80" s="406" t="s">
        <v>226</v>
      </c>
      <c r="C80" s="535"/>
      <c r="D80" s="537"/>
      <c r="E80" s="537"/>
      <c r="F80" s="535"/>
      <c r="G80" s="535"/>
      <c r="H80" s="537"/>
      <c r="I80" s="538"/>
      <c r="J80" s="537"/>
    </row>
    <row r="81" spans="1:10" ht="33" x14ac:dyDescent="0.25">
      <c r="A81" s="535"/>
      <c r="B81" s="406" t="s">
        <v>278</v>
      </c>
      <c r="C81" s="535"/>
      <c r="D81" s="407" t="s">
        <v>473</v>
      </c>
      <c r="E81" s="407"/>
      <c r="F81" s="535"/>
      <c r="G81" s="535"/>
      <c r="H81" s="407"/>
      <c r="I81" s="407"/>
      <c r="J81" s="407"/>
    </row>
    <row r="82" spans="1:10" x14ac:dyDescent="0.25">
      <c r="A82" s="536"/>
      <c r="B82" s="536"/>
      <c r="C82" s="536"/>
      <c r="D82" s="536"/>
      <c r="E82" s="536"/>
      <c r="F82" s="536"/>
      <c r="G82" s="536"/>
      <c r="H82" s="536"/>
      <c r="I82" s="536"/>
      <c r="J82" s="536"/>
    </row>
    <row r="83" spans="1:10" x14ac:dyDescent="0.25">
      <c r="A83" s="535" t="s">
        <v>157</v>
      </c>
      <c r="B83" s="406" t="s">
        <v>474</v>
      </c>
      <c r="C83" s="535" t="s">
        <v>476</v>
      </c>
      <c r="D83" s="537" t="s">
        <v>477</v>
      </c>
      <c r="E83" s="537" t="s">
        <v>478</v>
      </c>
      <c r="F83" s="535" t="s">
        <v>479</v>
      </c>
      <c r="G83" s="535" t="s">
        <v>480</v>
      </c>
      <c r="H83" s="537" t="s">
        <v>481</v>
      </c>
      <c r="I83" s="537" t="s">
        <v>482</v>
      </c>
      <c r="J83" s="537" t="s">
        <v>483</v>
      </c>
    </row>
    <row r="84" spans="1:10" ht="22.5" x14ac:dyDescent="0.25">
      <c r="A84" s="535"/>
      <c r="B84" s="406" t="s">
        <v>226</v>
      </c>
      <c r="C84" s="535"/>
      <c r="D84" s="537"/>
      <c r="E84" s="537"/>
      <c r="F84" s="535"/>
      <c r="G84" s="535"/>
      <c r="H84" s="537"/>
      <c r="I84" s="537"/>
      <c r="J84" s="537"/>
    </row>
    <row r="85" spans="1:10" ht="64.5" x14ac:dyDescent="0.25">
      <c r="A85" s="535"/>
      <c r="B85" s="406" t="s">
        <v>475</v>
      </c>
      <c r="C85" s="535"/>
      <c r="D85" s="407" t="s">
        <v>484</v>
      </c>
      <c r="E85" s="407" t="s">
        <v>485</v>
      </c>
      <c r="F85" s="535"/>
      <c r="G85" s="535"/>
      <c r="H85" s="407" t="s">
        <v>486</v>
      </c>
      <c r="I85" s="407" t="s">
        <v>487</v>
      </c>
      <c r="J85" s="407" t="s">
        <v>488</v>
      </c>
    </row>
    <row r="86" spans="1:10" x14ac:dyDescent="0.25">
      <c r="A86" s="536"/>
      <c r="B86" s="536"/>
      <c r="C86" s="536"/>
      <c r="D86" s="536"/>
      <c r="E86" s="536"/>
      <c r="F86" s="536"/>
      <c r="G86" s="536"/>
      <c r="H86" s="536"/>
      <c r="I86" s="536"/>
      <c r="J86" s="536"/>
    </row>
    <row r="87" spans="1:10" ht="31.5" customHeight="1" x14ac:dyDescent="0.25">
      <c r="A87" s="539"/>
      <c r="B87" s="540" t="s">
        <v>111</v>
      </c>
      <c r="C87" s="539"/>
      <c r="D87" s="409"/>
      <c r="E87" s="409"/>
      <c r="F87" s="539" t="s">
        <v>1034</v>
      </c>
      <c r="G87" s="539" t="s">
        <v>489</v>
      </c>
      <c r="H87" s="410" t="s">
        <v>1035</v>
      </c>
      <c r="I87" s="409"/>
      <c r="J87" s="410" t="s">
        <v>490</v>
      </c>
    </row>
    <row r="88" spans="1:10" x14ac:dyDescent="0.25">
      <c r="A88" s="539"/>
      <c r="B88" s="540"/>
      <c r="C88" s="539"/>
      <c r="D88" s="409"/>
      <c r="E88" s="409"/>
      <c r="F88" s="539"/>
      <c r="G88" s="539"/>
      <c r="H88" s="409" t="s">
        <v>491</v>
      </c>
      <c r="I88" s="409"/>
      <c r="J88" s="409" t="s">
        <v>492</v>
      </c>
    </row>
    <row r="89" spans="1:10" ht="42" customHeight="1" x14ac:dyDescent="0.25">
      <c r="A89" s="539"/>
      <c r="B89" s="540" t="s">
        <v>112</v>
      </c>
      <c r="C89" s="539"/>
      <c r="D89" s="409"/>
      <c r="E89" s="409"/>
      <c r="F89" s="539" t="s">
        <v>1034</v>
      </c>
      <c r="G89" s="539" t="s">
        <v>489</v>
      </c>
      <c r="H89" s="410" t="s">
        <v>1035</v>
      </c>
      <c r="I89" s="409"/>
      <c r="J89" s="410" t="s">
        <v>490</v>
      </c>
    </row>
    <row r="90" spans="1:10" x14ac:dyDescent="0.25">
      <c r="A90" s="539"/>
      <c r="B90" s="540"/>
      <c r="C90" s="539"/>
      <c r="D90" s="409"/>
      <c r="E90" s="409"/>
      <c r="F90" s="539"/>
      <c r="G90" s="539"/>
      <c r="H90" s="409" t="s">
        <v>491</v>
      </c>
      <c r="I90" s="409"/>
      <c r="J90" s="409" t="s">
        <v>492</v>
      </c>
    </row>
    <row r="91" spans="1:10" ht="33" x14ac:dyDescent="0.25">
      <c r="A91" s="409"/>
      <c r="B91" s="411" t="s">
        <v>493</v>
      </c>
      <c r="C91" s="409"/>
      <c r="D91" s="409"/>
      <c r="E91" s="409"/>
      <c r="F91" s="409" t="s">
        <v>494</v>
      </c>
      <c r="G91" s="409"/>
      <c r="H91" s="409"/>
      <c r="I91" s="409"/>
      <c r="J91" s="409"/>
    </row>
    <row r="92" spans="1:10" ht="22.5" x14ac:dyDescent="0.25">
      <c r="A92" s="409"/>
      <c r="B92" s="411" t="s">
        <v>495</v>
      </c>
      <c r="C92" s="409"/>
      <c r="D92" s="409"/>
      <c r="E92" s="409"/>
      <c r="F92" s="409" t="s">
        <v>496</v>
      </c>
      <c r="G92" s="409"/>
      <c r="H92" s="409"/>
      <c r="I92" s="409"/>
      <c r="J92" s="409"/>
    </row>
    <row r="93" spans="1:10" ht="33" x14ac:dyDescent="0.25">
      <c r="A93" s="409"/>
      <c r="B93" s="411" t="s">
        <v>113</v>
      </c>
      <c r="C93" s="409"/>
      <c r="D93" s="409"/>
      <c r="E93" s="409"/>
      <c r="F93" s="409" t="s">
        <v>1036</v>
      </c>
      <c r="G93" s="409"/>
      <c r="H93" s="409"/>
      <c r="I93" s="409"/>
      <c r="J93" s="409"/>
    </row>
    <row r="94" spans="1:10" x14ac:dyDescent="0.25">
      <c r="A94" s="409"/>
      <c r="B94" s="411" t="s">
        <v>114</v>
      </c>
      <c r="C94" s="409"/>
      <c r="D94" s="409"/>
      <c r="E94" s="409"/>
      <c r="F94" s="424">
        <v>412900.27</v>
      </c>
      <c r="G94" s="409"/>
      <c r="H94" s="409"/>
      <c r="I94" s="409"/>
      <c r="J94" s="409"/>
    </row>
    <row r="95" spans="1:10" x14ac:dyDescent="0.25">
      <c r="A95" s="409"/>
      <c r="B95" s="411" t="s">
        <v>240</v>
      </c>
      <c r="C95" s="409"/>
      <c r="D95" s="409"/>
      <c r="E95" s="409"/>
      <c r="F95" s="409"/>
      <c r="G95" s="409"/>
      <c r="H95" s="409"/>
      <c r="I95" s="409"/>
      <c r="J95" s="409"/>
    </row>
    <row r="96" spans="1:10" x14ac:dyDescent="0.25">
      <c r="A96" s="409"/>
      <c r="B96" s="411" t="s">
        <v>241</v>
      </c>
      <c r="C96" s="409"/>
      <c r="D96" s="409"/>
      <c r="E96" s="409"/>
      <c r="F96" s="409" t="s">
        <v>497</v>
      </c>
      <c r="G96" s="409"/>
      <c r="H96" s="409"/>
      <c r="I96" s="409"/>
      <c r="J96" s="409"/>
    </row>
    <row r="97" spans="1:10" x14ac:dyDescent="0.25">
      <c r="A97" s="409"/>
      <c r="B97" s="411" t="s">
        <v>242</v>
      </c>
      <c r="C97" s="409"/>
      <c r="D97" s="409"/>
      <c r="E97" s="409"/>
      <c r="F97" s="409" t="s">
        <v>489</v>
      </c>
      <c r="G97" s="409"/>
      <c r="H97" s="409"/>
      <c r="I97" s="409"/>
      <c r="J97" s="409"/>
    </row>
    <row r="98" spans="1:10" x14ac:dyDescent="0.25">
      <c r="A98" s="409"/>
      <c r="B98" s="411" t="s">
        <v>243</v>
      </c>
      <c r="C98" s="409"/>
      <c r="D98" s="409"/>
      <c r="E98" s="409"/>
      <c r="F98" s="409" t="s">
        <v>1035</v>
      </c>
      <c r="G98" s="409"/>
      <c r="H98" s="409"/>
      <c r="I98" s="409"/>
      <c r="J98" s="409"/>
    </row>
    <row r="99" spans="1:10" ht="22.5" x14ac:dyDescent="0.25">
      <c r="A99" s="409"/>
      <c r="B99" s="411" t="s">
        <v>244</v>
      </c>
      <c r="C99" s="409"/>
      <c r="D99" s="409"/>
      <c r="E99" s="409"/>
      <c r="F99" s="409" t="s">
        <v>491</v>
      </c>
      <c r="G99" s="409"/>
      <c r="H99" s="409"/>
      <c r="I99" s="409"/>
      <c r="J99" s="409"/>
    </row>
    <row r="100" spans="1:10" x14ac:dyDescent="0.25">
      <c r="A100" s="409"/>
      <c r="B100" s="411" t="s">
        <v>245</v>
      </c>
      <c r="C100" s="409"/>
      <c r="D100" s="409"/>
      <c r="E100" s="409"/>
      <c r="F100" s="409" t="s">
        <v>494</v>
      </c>
      <c r="G100" s="409"/>
      <c r="H100" s="409"/>
      <c r="I100" s="409"/>
      <c r="J100" s="409"/>
    </row>
    <row r="101" spans="1:10" x14ac:dyDescent="0.25">
      <c r="A101" s="409"/>
      <c r="B101" s="411" t="s">
        <v>246</v>
      </c>
      <c r="C101" s="409"/>
      <c r="D101" s="409"/>
      <c r="E101" s="409"/>
      <c r="F101" s="409" t="s">
        <v>496</v>
      </c>
      <c r="G101" s="409"/>
      <c r="H101" s="409"/>
      <c r="I101" s="409"/>
      <c r="J101" s="409"/>
    </row>
    <row r="102" spans="1:10" x14ac:dyDescent="0.25">
      <c r="A102" s="409"/>
      <c r="B102" s="411" t="s">
        <v>247</v>
      </c>
      <c r="C102" s="409">
        <v>20</v>
      </c>
      <c r="D102" s="409"/>
      <c r="E102" s="409"/>
      <c r="F102" s="409" t="s">
        <v>1037</v>
      </c>
      <c r="G102" s="409"/>
      <c r="H102" s="409"/>
      <c r="I102" s="409"/>
      <c r="J102" s="409"/>
    </row>
    <row r="103" spans="1:10" ht="22.5" x14ac:dyDescent="0.25">
      <c r="A103" s="409"/>
      <c r="B103" s="411" t="s">
        <v>248</v>
      </c>
      <c r="C103" s="409"/>
      <c r="D103" s="409"/>
      <c r="E103" s="409"/>
      <c r="F103" s="409" t="s">
        <v>1038</v>
      </c>
      <c r="G103" s="409"/>
      <c r="H103" s="409"/>
      <c r="I103" s="409"/>
      <c r="J103" s="409"/>
    </row>
    <row r="104" spans="1:10" x14ac:dyDescent="0.25">
      <c r="A104" s="536"/>
      <c r="B104" s="536"/>
      <c r="C104" s="536"/>
      <c r="D104" s="536"/>
      <c r="E104" s="536"/>
      <c r="F104" s="536"/>
      <c r="G104" s="536"/>
      <c r="H104" s="536"/>
      <c r="I104" s="536"/>
      <c r="J104" s="536"/>
    </row>
    <row r="105" spans="1:10" x14ac:dyDescent="0.25">
      <c r="A105" s="406"/>
      <c r="B105" s="541" t="s">
        <v>498</v>
      </c>
      <c r="C105" s="541"/>
      <c r="D105" s="541"/>
      <c r="E105" s="541"/>
      <c r="F105" s="541"/>
      <c r="G105" s="541"/>
      <c r="H105" s="541"/>
      <c r="I105" s="541"/>
      <c r="J105" s="541"/>
    </row>
    <row r="106" spans="1:10" x14ac:dyDescent="0.25">
      <c r="A106" s="536"/>
      <c r="B106" s="536"/>
      <c r="C106" s="536"/>
      <c r="D106" s="536"/>
      <c r="E106" s="536"/>
      <c r="F106" s="536"/>
      <c r="G106" s="536"/>
      <c r="H106" s="536"/>
      <c r="I106" s="536"/>
      <c r="J106" s="536"/>
    </row>
    <row r="107" spans="1:10" x14ac:dyDescent="0.25">
      <c r="A107" s="535" t="s">
        <v>158</v>
      </c>
      <c r="B107" s="406" t="s">
        <v>333</v>
      </c>
      <c r="C107" s="535">
        <v>31</v>
      </c>
      <c r="D107" s="408" t="s">
        <v>500</v>
      </c>
      <c r="E107" s="407"/>
      <c r="F107" s="535" t="s">
        <v>501</v>
      </c>
      <c r="G107" s="535"/>
      <c r="H107" s="407"/>
      <c r="I107" s="407"/>
      <c r="J107" s="407"/>
    </row>
    <row r="108" spans="1:10" ht="22.5" x14ac:dyDescent="0.25">
      <c r="A108" s="535"/>
      <c r="B108" s="406" t="s">
        <v>499</v>
      </c>
      <c r="C108" s="535"/>
      <c r="D108" s="407"/>
      <c r="E108" s="407"/>
      <c r="F108" s="535"/>
      <c r="G108" s="535"/>
      <c r="H108" s="407"/>
      <c r="I108" s="407"/>
      <c r="J108" s="407"/>
    </row>
    <row r="109" spans="1:10" x14ac:dyDescent="0.25">
      <c r="A109" s="536"/>
      <c r="B109" s="536"/>
      <c r="C109" s="536"/>
      <c r="D109" s="536"/>
      <c r="E109" s="536"/>
      <c r="F109" s="536"/>
      <c r="G109" s="536"/>
      <c r="H109" s="536"/>
      <c r="I109" s="536"/>
      <c r="J109" s="536"/>
    </row>
    <row r="110" spans="1:10" x14ac:dyDescent="0.25">
      <c r="A110" s="535" t="s">
        <v>159</v>
      </c>
      <c r="B110" s="406" t="s">
        <v>291</v>
      </c>
      <c r="C110" s="535">
        <v>2</v>
      </c>
      <c r="D110" s="408" t="s">
        <v>503</v>
      </c>
      <c r="E110" s="407"/>
      <c r="F110" s="535" t="s">
        <v>504</v>
      </c>
      <c r="G110" s="535"/>
      <c r="H110" s="407"/>
      <c r="I110" s="407"/>
      <c r="J110" s="407"/>
    </row>
    <row r="111" spans="1:10" x14ac:dyDescent="0.25">
      <c r="A111" s="535"/>
      <c r="B111" s="406" t="s">
        <v>502</v>
      </c>
      <c r="C111" s="535"/>
      <c r="D111" s="407"/>
      <c r="E111" s="407"/>
      <c r="F111" s="535"/>
      <c r="G111" s="535"/>
      <c r="H111" s="407"/>
      <c r="I111" s="407"/>
      <c r="J111" s="407"/>
    </row>
    <row r="112" spans="1:10" x14ac:dyDescent="0.25">
      <c r="A112" s="536"/>
      <c r="B112" s="536"/>
      <c r="C112" s="536"/>
      <c r="D112" s="536"/>
      <c r="E112" s="536"/>
      <c r="F112" s="536"/>
      <c r="G112" s="536"/>
      <c r="H112" s="536"/>
      <c r="I112" s="536"/>
      <c r="J112" s="536"/>
    </row>
    <row r="113" spans="1:10" x14ac:dyDescent="0.25">
      <c r="A113" s="535" t="s">
        <v>160</v>
      </c>
      <c r="B113" s="406" t="s">
        <v>293</v>
      </c>
      <c r="C113" s="535">
        <v>2</v>
      </c>
      <c r="D113" s="408" t="s">
        <v>506</v>
      </c>
      <c r="E113" s="407"/>
      <c r="F113" s="535" t="s">
        <v>507</v>
      </c>
      <c r="G113" s="535"/>
      <c r="H113" s="407"/>
      <c r="I113" s="407"/>
      <c r="J113" s="407"/>
    </row>
    <row r="114" spans="1:10" x14ac:dyDescent="0.25">
      <c r="A114" s="535"/>
      <c r="B114" s="406" t="s">
        <v>505</v>
      </c>
      <c r="C114" s="535"/>
      <c r="D114" s="407"/>
      <c r="E114" s="407"/>
      <c r="F114" s="535"/>
      <c r="G114" s="535"/>
      <c r="H114" s="407"/>
      <c r="I114" s="407"/>
      <c r="J114" s="407"/>
    </row>
    <row r="115" spans="1:10" x14ac:dyDescent="0.25">
      <c r="A115" s="536"/>
      <c r="B115" s="536"/>
      <c r="C115" s="536"/>
      <c r="D115" s="536"/>
      <c r="E115" s="536"/>
      <c r="F115" s="536"/>
      <c r="G115" s="536"/>
      <c r="H115" s="536"/>
      <c r="I115" s="536"/>
      <c r="J115" s="536"/>
    </row>
    <row r="116" spans="1:10" x14ac:dyDescent="0.25">
      <c r="A116" s="535" t="s">
        <v>161</v>
      </c>
      <c r="B116" s="406" t="s">
        <v>283</v>
      </c>
      <c r="C116" s="535">
        <v>5</v>
      </c>
      <c r="D116" s="408" t="s">
        <v>509</v>
      </c>
      <c r="E116" s="407"/>
      <c r="F116" s="535" t="s">
        <v>510</v>
      </c>
      <c r="G116" s="535"/>
      <c r="H116" s="407"/>
      <c r="I116" s="407"/>
      <c r="J116" s="407"/>
    </row>
    <row r="117" spans="1:10" x14ac:dyDescent="0.25">
      <c r="A117" s="535"/>
      <c r="B117" s="406" t="s">
        <v>508</v>
      </c>
      <c r="C117" s="535"/>
      <c r="D117" s="407"/>
      <c r="E117" s="407"/>
      <c r="F117" s="535"/>
      <c r="G117" s="535"/>
      <c r="H117" s="407"/>
      <c r="I117" s="407"/>
      <c r="J117" s="407"/>
    </row>
    <row r="118" spans="1:10" x14ac:dyDescent="0.25">
      <c r="A118" s="536"/>
      <c r="B118" s="536"/>
      <c r="C118" s="536"/>
      <c r="D118" s="536"/>
      <c r="E118" s="536"/>
      <c r="F118" s="536"/>
      <c r="G118" s="536"/>
      <c r="H118" s="536"/>
      <c r="I118" s="536"/>
      <c r="J118" s="536"/>
    </row>
    <row r="119" spans="1:10" x14ac:dyDescent="0.25">
      <c r="A119" s="535" t="s">
        <v>162</v>
      </c>
      <c r="B119" s="406" t="s">
        <v>285</v>
      </c>
      <c r="C119" s="535">
        <v>5</v>
      </c>
      <c r="D119" s="408" t="s">
        <v>512</v>
      </c>
      <c r="E119" s="407"/>
      <c r="F119" s="535" t="s">
        <v>513</v>
      </c>
      <c r="G119" s="535"/>
      <c r="H119" s="407"/>
      <c r="I119" s="407"/>
      <c r="J119" s="407"/>
    </row>
    <row r="120" spans="1:10" x14ac:dyDescent="0.25">
      <c r="A120" s="535"/>
      <c r="B120" s="406" t="s">
        <v>511</v>
      </c>
      <c r="C120" s="535"/>
      <c r="D120" s="407"/>
      <c r="E120" s="407"/>
      <c r="F120" s="535"/>
      <c r="G120" s="535"/>
      <c r="H120" s="407"/>
      <c r="I120" s="407"/>
      <c r="J120" s="407"/>
    </row>
    <row r="121" spans="1:10" x14ac:dyDescent="0.25">
      <c r="A121" s="536"/>
      <c r="B121" s="536"/>
      <c r="C121" s="536"/>
      <c r="D121" s="536"/>
      <c r="E121" s="536"/>
      <c r="F121" s="536"/>
      <c r="G121" s="536"/>
      <c r="H121" s="536"/>
      <c r="I121" s="536"/>
      <c r="J121" s="536"/>
    </row>
    <row r="122" spans="1:10" x14ac:dyDescent="0.25">
      <c r="A122" s="535" t="s">
        <v>163</v>
      </c>
      <c r="B122" s="406" t="s">
        <v>287</v>
      </c>
      <c r="C122" s="535">
        <v>5</v>
      </c>
      <c r="D122" s="408" t="s">
        <v>515</v>
      </c>
      <c r="E122" s="407"/>
      <c r="F122" s="535" t="s">
        <v>516</v>
      </c>
      <c r="G122" s="535"/>
      <c r="H122" s="407"/>
      <c r="I122" s="407"/>
      <c r="J122" s="407"/>
    </row>
    <row r="123" spans="1:10" x14ac:dyDescent="0.25">
      <c r="A123" s="535"/>
      <c r="B123" s="406" t="s">
        <v>514</v>
      </c>
      <c r="C123" s="535"/>
      <c r="D123" s="407"/>
      <c r="E123" s="407"/>
      <c r="F123" s="535"/>
      <c r="G123" s="535"/>
      <c r="H123" s="407"/>
      <c r="I123" s="407"/>
      <c r="J123" s="407"/>
    </row>
    <row r="124" spans="1:10" x14ac:dyDescent="0.25">
      <c r="A124" s="536"/>
      <c r="B124" s="536"/>
      <c r="C124" s="536"/>
      <c r="D124" s="536"/>
      <c r="E124" s="536"/>
      <c r="F124" s="536"/>
      <c r="G124" s="536"/>
      <c r="H124" s="536"/>
      <c r="I124" s="536"/>
      <c r="J124" s="536"/>
    </row>
    <row r="125" spans="1:10" x14ac:dyDescent="0.25">
      <c r="A125" s="535" t="s">
        <v>164</v>
      </c>
      <c r="B125" s="406" t="s">
        <v>289</v>
      </c>
      <c r="C125" s="535">
        <v>12</v>
      </c>
      <c r="D125" s="408" t="s">
        <v>518</v>
      </c>
      <c r="E125" s="407"/>
      <c r="F125" s="535" t="s">
        <v>519</v>
      </c>
      <c r="G125" s="535"/>
      <c r="H125" s="407"/>
      <c r="I125" s="407"/>
      <c r="J125" s="407"/>
    </row>
    <row r="126" spans="1:10" x14ac:dyDescent="0.25">
      <c r="A126" s="535"/>
      <c r="B126" s="406" t="s">
        <v>517</v>
      </c>
      <c r="C126" s="535"/>
      <c r="D126" s="407"/>
      <c r="E126" s="407"/>
      <c r="F126" s="535"/>
      <c r="G126" s="535"/>
      <c r="H126" s="407"/>
      <c r="I126" s="407"/>
      <c r="J126" s="407"/>
    </row>
    <row r="127" spans="1:10" x14ac:dyDescent="0.25">
      <c r="A127" s="536"/>
      <c r="B127" s="536"/>
      <c r="C127" s="536"/>
      <c r="D127" s="536"/>
      <c r="E127" s="536"/>
      <c r="F127" s="536"/>
      <c r="G127" s="536"/>
      <c r="H127" s="536"/>
      <c r="I127" s="536"/>
      <c r="J127" s="536"/>
    </row>
    <row r="128" spans="1:10" x14ac:dyDescent="0.25">
      <c r="A128" s="535" t="s">
        <v>165</v>
      </c>
      <c r="B128" s="406" t="s">
        <v>296</v>
      </c>
      <c r="C128" s="535">
        <v>2</v>
      </c>
      <c r="D128" s="408" t="s">
        <v>521</v>
      </c>
      <c r="E128" s="407"/>
      <c r="F128" s="535" t="s">
        <v>522</v>
      </c>
      <c r="G128" s="535"/>
      <c r="H128" s="407"/>
      <c r="I128" s="407"/>
      <c r="J128" s="407"/>
    </row>
    <row r="129" spans="1:10" x14ac:dyDescent="0.25">
      <c r="A129" s="535"/>
      <c r="B129" s="406" t="s">
        <v>520</v>
      </c>
      <c r="C129" s="535"/>
      <c r="D129" s="407"/>
      <c r="E129" s="407"/>
      <c r="F129" s="535"/>
      <c r="G129" s="535"/>
      <c r="H129" s="407"/>
      <c r="I129" s="407"/>
      <c r="J129" s="407"/>
    </row>
    <row r="130" spans="1:10" x14ac:dyDescent="0.25">
      <c r="A130" s="536"/>
      <c r="B130" s="536"/>
      <c r="C130" s="536"/>
      <c r="D130" s="536"/>
      <c r="E130" s="536"/>
      <c r="F130" s="536"/>
      <c r="G130" s="536"/>
      <c r="H130" s="536"/>
      <c r="I130" s="536"/>
      <c r="J130" s="536"/>
    </row>
    <row r="131" spans="1:10" x14ac:dyDescent="0.25">
      <c r="A131" s="535" t="s">
        <v>166</v>
      </c>
      <c r="B131" s="406" t="s">
        <v>298</v>
      </c>
      <c r="C131" s="535">
        <v>12</v>
      </c>
      <c r="D131" s="408" t="s">
        <v>524</v>
      </c>
      <c r="E131" s="407"/>
      <c r="F131" s="535" t="s">
        <v>525</v>
      </c>
      <c r="G131" s="535"/>
      <c r="H131" s="407"/>
      <c r="I131" s="407"/>
      <c r="J131" s="407"/>
    </row>
    <row r="132" spans="1:10" x14ac:dyDescent="0.25">
      <c r="A132" s="535"/>
      <c r="B132" s="406" t="s">
        <v>523</v>
      </c>
      <c r="C132" s="535"/>
      <c r="D132" s="407"/>
      <c r="E132" s="407"/>
      <c r="F132" s="535"/>
      <c r="G132" s="535"/>
      <c r="H132" s="407"/>
      <c r="I132" s="407"/>
      <c r="J132" s="407"/>
    </row>
    <row r="133" spans="1:10" x14ac:dyDescent="0.25">
      <c r="A133" s="536"/>
      <c r="B133" s="536"/>
      <c r="C133" s="536"/>
      <c r="D133" s="536"/>
      <c r="E133" s="536"/>
      <c r="F133" s="536"/>
      <c r="G133" s="536"/>
      <c r="H133" s="536"/>
      <c r="I133" s="536"/>
      <c r="J133" s="536"/>
    </row>
    <row r="134" spans="1:10" x14ac:dyDescent="0.25">
      <c r="A134" s="535" t="s">
        <v>167</v>
      </c>
      <c r="B134" s="406" t="s">
        <v>300</v>
      </c>
      <c r="C134" s="535">
        <v>12</v>
      </c>
      <c r="D134" s="408" t="s">
        <v>527</v>
      </c>
      <c r="E134" s="407"/>
      <c r="F134" s="535" t="s">
        <v>528</v>
      </c>
      <c r="G134" s="535"/>
      <c r="H134" s="407"/>
      <c r="I134" s="407"/>
      <c r="J134" s="407"/>
    </row>
    <row r="135" spans="1:10" x14ac:dyDescent="0.25">
      <c r="A135" s="535"/>
      <c r="B135" s="406" t="s">
        <v>526</v>
      </c>
      <c r="C135" s="535"/>
      <c r="D135" s="407"/>
      <c r="E135" s="407"/>
      <c r="F135" s="535"/>
      <c r="G135" s="535"/>
      <c r="H135" s="407"/>
      <c r="I135" s="407"/>
      <c r="J135" s="407"/>
    </row>
    <row r="136" spans="1:10" x14ac:dyDescent="0.25">
      <c r="A136" s="536"/>
      <c r="B136" s="536"/>
      <c r="C136" s="536"/>
      <c r="D136" s="536"/>
      <c r="E136" s="536"/>
      <c r="F136" s="536"/>
      <c r="G136" s="536"/>
      <c r="H136" s="536"/>
      <c r="I136" s="536"/>
      <c r="J136" s="536"/>
    </row>
    <row r="137" spans="1:10" x14ac:dyDescent="0.25">
      <c r="A137" s="535" t="s">
        <v>168</v>
      </c>
      <c r="B137" s="406" t="s">
        <v>304</v>
      </c>
      <c r="C137" s="535">
        <v>4</v>
      </c>
      <c r="D137" s="408" t="s">
        <v>530</v>
      </c>
      <c r="E137" s="407"/>
      <c r="F137" s="535" t="s">
        <v>531</v>
      </c>
      <c r="G137" s="535"/>
      <c r="H137" s="407"/>
      <c r="I137" s="407"/>
      <c r="J137" s="407"/>
    </row>
    <row r="138" spans="1:10" x14ac:dyDescent="0.25">
      <c r="A138" s="535"/>
      <c r="B138" s="406" t="s">
        <v>529</v>
      </c>
      <c r="C138" s="535"/>
      <c r="D138" s="407"/>
      <c r="E138" s="407"/>
      <c r="F138" s="535"/>
      <c r="G138" s="535"/>
      <c r="H138" s="407"/>
      <c r="I138" s="407"/>
      <c r="J138" s="407"/>
    </row>
    <row r="139" spans="1:10" x14ac:dyDescent="0.25">
      <c r="A139" s="536"/>
      <c r="B139" s="536"/>
      <c r="C139" s="536"/>
      <c r="D139" s="536"/>
      <c r="E139" s="536"/>
      <c r="F139" s="536"/>
      <c r="G139" s="536"/>
      <c r="H139" s="536"/>
      <c r="I139" s="536"/>
      <c r="J139" s="536"/>
    </row>
    <row r="140" spans="1:10" x14ac:dyDescent="0.25">
      <c r="A140" s="535" t="s">
        <v>169</v>
      </c>
      <c r="B140" s="406" t="s">
        <v>532</v>
      </c>
      <c r="C140" s="535">
        <v>2</v>
      </c>
      <c r="D140" s="408" t="s">
        <v>534</v>
      </c>
      <c r="E140" s="407"/>
      <c r="F140" s="535" t="s">
        <v>535</v>
      </c>
      <c r="G140" s="535"/>
      <c r="H140" s="407"/>
      <c r="I140" s="407"/>
      <c r="J140" s="407"/>
    </row>
    <row r="141" spans="1:10" x14ac:dyDescent="0.25">
      <c r="A141" s="535"/>
      <c r="B141" s="406" t="s">
        <v>533</v>
      </c>
      <c r="C141" s="535"/>
      <c r="D141" s="407"/>
      <c r="E141" s="407"/>
      <c r="F141" s="535"/>
      <c r="G141" s="535"/>
      <c r="H141" s="407"/>
      <c r="I141" s="407"/>
      <c r="J141" s="407"/>
    </row>
    <row r="142" spans="1:10" x14ac:dyDescent="0.25">
      <c r="A142" s="536"/>
      <c r="B142" s="536"/>
      <c r="C142" s="536"/>
      <c r="D142" s="536"/>
      <c r="E142" s="536"/>
      <c r="F142" s="536"/>
      <c r="G142" s="536"/>
      <c r="H142" s="536"/>
      <c r="I142" s="536"/>
      <c r="J142" s="536"/>
    </row>
    <row r="143" spans="1:10" x14ac:dyDescent="0.25">
      <c r="A143" s="535" t="s">
        <v>170</v>
      </c>
      <c r="B143" s="406" t="s">
        <v>306</v>
      </c>
      <c r="C143" s="535">
        <v>2</v>
      </c>
      <c r="D143" s="408" t="s">
        <v>537</v>
      </c>
      <c r="E143" s="407"/>
      <c r="F143" s="535" t="s">
        <v>538</v>
      </c>
      <c r="G143" s="535"/>
      <c r="H143" s="407"/>
      <c r="I143" s="407"/>
      <c r="J143" s="407"/>
    </row>
    <row r="144" spans="1:10" x14ac:dyDescent="0.25">
      <c r="A144" s="535"/>
      <c r="B144" s="406" t="s">
        <v>536</v>
      </c>
      <c r="C144" s="535"/>
      <c r="D144" s="407"/>
      <c r="E144" s="407"/>
      <c r="F144" s="535"/>
      <c r="G144" s="535"/>
      <c r="H144" s="407"/>
      <c r="I144" s="407"/>
      <c r="J144" s="407"/>
    </row>
    <row r="145" spans="1:10" x14ac:dyDescent="0.25">
      <c r="A145" s="536"/>
      <c r="B145" s="536"/>
      <c r="C145" s="536"/>
      <c r="D145" s="536"/>
      <c r="E145" s="536"/>
      <c r="F145" s="536"/>
      <c r="G145" s="536"/>
      <c r="H145" s="536"/>
      <c r="I145" s="536"/>
      <c r="J145" s="536"/>
    </row>
    <row r="146" spans="1:10" x14ac:dyDescent="0.25">
      <c r="A146" s="535" t="s">
        <v>171</v>
      </c>
      <c r="B146" s="406" t="s">
        <v>309</v>
      </c>
      <c r="C146" s="535">
        <v>10</v>
      </c>
      <c r="D146" s="408" t="s">
        <v>540</v>
      </c>
      <c r="E146" s="407"/>
      <c r="F146" s="535" t="s">
        <v>541</v>
      </c>
      <c r="G146" s="535"/>
      <c r="H146" s="407"/>
      <c r="I146" s="407"/>
      <c r="J146" s="407"/>
    </row>
    <row r="147" spans="1:10" x14ac:dyDescent="0.25">
      <c r="A147" s="535"/>
      <c r="B147" s="406" t="s">
        <v>539</v>
      </c>
      <c r="C147" s="535"/>
      <c r="D147" s="407"/>
      <c r="E147" s="407"/>
      <c r="F147" s="535"/>
      <c r="G147" s="535"/>
      <c r="H147" s="407"/>
      <c r="I147" s="407"/>
      <c r="J147" s="407"/>
    </row>
    <row r="148" spans="1:10" x14ac:dyDescent="0.25">
      <c r="A148" s="536"/>
      <c r="B148" s="536"/>
      <c r="C148" s="536"/>
      <c r="D148" s="536"/>
      <c r="E148" s="536"/>
      <c r="F148" s="536"/>
      <c r="G148" s="536"/>
      <c r="H148" s="536"/>
      <c r="I148" s="536"/>
      <c r="J148" s="536"/>
    </row>
    <row r="149" spans="1:10" x14ac:dyDescent="0.25">
      <c r="A149" s="535" t="s">
        <v>172</v>
      </c>
      <c r="B149" s="406" t="s">
        <v>311</v>
      </c>
      <c r="C149" s="535">
        <v>4</v>
      </c>
      <c r="D149" s="408" t="s">
        <v>543</v>
      </c>
      <c r="E149" s="407"/>
      <c r="F149" s="535" t="s">
        <v>544</v>
      </c>
      <c r="G149" s="535"/>
      <c r="H149" s="407"/>
      <c r="I149" s="407"/>
      <c r="J149" s="407"/>
    </row>
    <row r="150" spans="1:10" x14ac:dyDescent="0.25">
      <c r="A150" s="535"/>
      <c r="B150" s="406" t="s">
        <v>542</v>
      </c>
      <c r="C150" s="535"/>
      <c r="D150" s="407"/>
      <c r="E150" s="407"/>
      <c r="F150" s="535"/>
      <c r="G150" s="535"/>
      <c r="H150" s="407"/>
      <c r="I150" s="407"/>
      <c r="J150" s="407"/>
    </row>
    <row r="151" spans="1:10" x14ac:dyDescent="0.25">
      <c r="A151" s="536"/>
      <c r="B151" s="536"/>
      <c r="C151" s="536"/>
      <c r="D151" s="536"/>
      <c r="E151" s="536"/>
      <c r="F151" s="536"/>
      <c r="G151" s="536"/>
      <c r="H151" s="536"/>
      <c r="I151" s="536"/>
      <c r="J151" s="536"/>
    </row>
    <row r="152" spans="1:10" x14ac:dyDescent="0.25">
      <c r="A152" s="535" t="s">
        <v>173</v>
      </c>
      <c r="B152" s="406" t="s">
        <v>313</v>
      </c>
      <c r="C152" s="535">
        <v>13</v>
      </c>
      <c r="D152" s="408" t="s">
        <v>546</v>
      </c>
      <c r="E152" s="407"/>
      <c r="F152" s="535" t="s">
        <v>547</v>
      </c>
      <c r="G152" s="535"/>
      <c r="H152" s="407"/>
      <c r="I152" s="407"/>
      <c r="J152" s="407"/>
    </row>
    <row r="153" spans="1:10" ht="22.5" x14ac:dyDescent="0.25">
      <c r="A153" s="535"/>
      <c r="B153" s="406" t="s">
        <v>545</v>
      </c>
      <c r="C153" s="535"/>
      <c r="D153" s="407"/>
      <c r="E153" s="407"/>
      <c r="F153" s="535"/>
      <c r="G153" s="535"/>
      <c r="H153" s="407"/>
      <c r="I153" s="407"/>
      <c r="J153" s="407"/>
    </row>
    <row r="154" spans="1:10" x14ac:dyDescent="0.25">
      <c r="A154" s="536"/>
      <c r="B154" s="536"/>
      <c r="C154" s="536"/>
      <c r="D154" s="536"/>
      <c r="E154" s="536"/>
      <c r="F154" s="536"/>
      <c r="G154" s="536"/>
      <c r="H154" s="536"/>
      <c r="I154" s="536"/>
      <c r="J154" s="536"/>
    </row>
    <row r="155" spans="1:10" x14ac:dyDescent="0.25">
      <c r="A155" s="535" t="s">
        <v>174</v>
      </c>
      <c r="B155" s="406" t="s">
        <v>316</v>
      </c>
      <c r="C155" s="535">
        <v>2</v>
      </c>
      <c r="D155" s="408" t="s">
        <v>549</v>
      </c>
      <c r="E155" s="407"/>
      <c r="F155" s="535" t="s">
        <v>550</v>
      </c>
      <c r="G155" s="535"/>
      <c r="H155" s="407"/>
      <c r="I155" s="407"/>
      <c r="J155" s="407"/>
    </row>
    <row r="156" spans="1:10" x14ac:dyDescent="0.25">
      <c r="A156" s="535"/>
      <c r="B156" s="406" t="s">
        <v>548</v>
      </c>
      <c r="C156" s="535"/>
      <c r="D156" s="407"/>
      <c r="E156" s="407"/>
      <c r="F156" s="535"/>
      <c r="G156" s="535"/>
      <c r="H156" s="407"/>
      <c r="I156" s="407"/>
      <c r="J156" s="407"/>
    </row>
    <row r="157" spans="1:10" x14ac:dyDescent="0.25">
      <c r="A157" s="536"/>
      <c r="B157" s="536"/>
      <c r="C157" s="536"/>
      <c r="D157" s="536"/>
      <c r="E157" s="536"/>
      <c r="F157" s="536"/>
      <c r="G157" s="536"/>
      <c r="H157" s="536"/>
      <c r="I157" s="536"/>
      <c r="J157" s="536"/>
    </row>
    <row r="158" spans="1:10" x14ac:dyDescent="0.25">
      <c r="A158" s="535" t="s">
        <v>175</v>
      </c>
      <c r="B158" s="406" t="s">
        <v>318</v>
      </c>
      <c r="C158" s="535">
        <v>2</v>
      </c>
      <c r="D158" s="408" t="s">
        <v>552</v>
      </c>
      <c r="E158" s="407"/>
      <c r="F158" s="535" t="s">
        <v>553</v>
      </c>
      <c r="G158" s="535"/>
      <c r="H158" s="407"/>
      <c r="I158" s="407"/>
      <c r="J158" s="407"/>
    </row>
    <row r="159" spans="1:10" x14ac:dyDescent="0.25">
      <c r="A159" s="535"/>
      <c r="B159" s="406" t="s">
        <v>551</v>
      </c>
      <c r="C159" s="535"/>
      <c r="D159" s="407"/>
      <c r="E159" s="407"/>
      <c r="F159" s="535"/>
      <c r="G159" s="535"/>
      <c r="H159" s="407"/>
      <c r="I159" s="407"/>
      <c r="J159" s="407"/>
    </row>
    <row r="160" spans="1:10" x14ac:dyDescent="0.25">
      <c r="A160" s="536"/>
      <c r="B160" s="536"/>
      <c r="C160" s="536"/>
      <c r="D160" s="536"/>
      <c r="E160" s="536"/>
      <c r="F160" s="536"/>
      <c r="G160" s="536"/>
      <c r="H160" s="536"/>
      <c r="I160" s="536"/>
      <c r="J160" s="536"/>
    </row>
    <row r="161" spans="1:10" x14ac:dyDescent="0.25">
      <c r="A161" s="535" t="s">
        <v>176</v>
      </c>
      <c r="B161" s="406" t="s">
        <v>320</v>
      </c>
      <c r="C161" s="535">
        <v>2</v>
      </c>
      <c r="D161" s="408" t="s">
        <v>555</v>
      </c>
      <c r="E161" s="407"/>
      <c r="F161" s="535" t="s">
        <v>556</v>
      </c>
      <c r="G161" s="535"/>
      <c r="H161" s="407"/>
      <c r="I161" s="407"/>
      <c r="J161" s="407"/>
    </row>
    <row r="162" spans="1:10" x14ac:dyDescent="0.25">
      <c r="A162" s="535"/>
      <c r="B162" s="406" t="s">
        <v>554</v>
      </c>
      <c r="C162" s="535"/>
      <c r="D162" s="407"/>
      <c r="E162" s="407"/>
      <c r="F162" s="535"/>
      <c r="G162" s="535"/>
      <c r="H162" s="407"/>
      <c r="I162" s="407"/>
      <c r="J162" s="407"/>
    </row>
    <row r="163" spans="1:10" x14ac:dyDescent="0.25">
      <c r="A163" s="536"/>
      <c r="B163" s="536"/>
      <c r="C163" s="536"/>
      <c r="D163" s="536"/>
      <c r="E163" s="536"/>
      <c r="F163" s="536"/>
      <c r="G163" s="536"/>
      <c r="H163" s="536"/>
      <c r="I163" s="536"/>
      <c r="J163" s="536"/>
    </row>
    <row r="164" spans="1:10" x14ac:dyDescent="0.25">
      <c r="A164" s="535" t="s">
        <v>177</v>
      </c>
      <c r="B164" s="406" t="s">
        <v>325</v>
      </c>
      <c r="C164" s="535">
        <v>6</v>
      </c>
      <c r="D164" s="408" t="s">
        <v>558</v>
      </c>
      <c r="E164" s="407"/>
      <c r="F164" s="535" t="s">
        <v>559</v>
      </c>
      <c r="G164" s="535"/>
      <c r="H164" s="407"/>
      <c r="I164" s="407"/>
      <c r="J164" s="407"/>
    </row>
    <row r="165" spans="1:10" x14ac:dyDescent="0.25">
      <c r="A165" s="535"/>
      <c r="B165" s="406" t="s">
        <v>557</v>
      </c>
      <c r="C165" s="535"/>
      <c r="D165" s="407"/>
      <c r="E165" s="407"/>
      <c r="F165" s="535"/>
      <c r="G165" s="535"/>
      <c r="H165" s="407"/>
      <c r="I165" s="407"/>
      <c r="J165" s="407"/>
    </row>
    <row r="166" spans="1:10" x14ac:dyDescent="0.25">
      <c r="A166" s="536"/>
      <c r="B166" s="536"/>
      <c r="C166" s="536"/>
      <c r="D166" s="536"/>
      <c r="E166" s="536"/>
      <c r="F166" s="536"/>
      <c r="G166" s="536"/>
      <c r="H166" s="536"/>
      <c r="I166" s="536"/>
      <c r="J166" s="536"/>
    </row>
    <row r="167" spans="1:10" x14ac:dyDescent="0.25">
      <c r="A167" s="535" t="s">
        <v>178</v>
      </c>
      <c r="B167" s="406" t="s">
        <v>302</v>
      </c>
      <c r="C167" s="535">
        <v>4</v>
      </c>
      <c r="D167" s="408" t="s">
        <v>561</v>
      </c>
      <c r="E167" s="407"/>
      <c r="F167" s="535" t="s">
        <v>562</v>
      </c>
      <c r="G167" s="535"/>
      <c r="H167" s="407"/>
      <c r="I167" s="407"/>
      <c r="J167" s="407"/>
    </row>
    <row r="168" spans="1:10" x14ac:dyDescent="0.25">
      <c r="A168" s="535"/>
      <c r="B168" s="406" t="s">
        <v>560</v>
      </c>
      <c r="C168" s="535"/>
      <c r="D168" s="407"/>
      <c r="E168" s="407"/>
      <c r="F168" s="535"/>
      <c r="G168" s="535"/>
      <c r="H168" s="407"/>
      <c r="I168" s="407"/>
      <c r="J168" s="407"/>
    </row>
    <row r="169" spans="1:10" x14ac:dyDescent="0.25">
      <c r="A169" s="536"/>
      <c r="B169" s="536"/>
      <c r="C169" s="536"/>
      <c r="D169" s="536"/>
      <c r="E169" s="536"/>
      <c r="F169" s="536"/>
      <c r="G169" s="536"/>
      <c r="H169" s="536"/>
      <c r="I169" s="536"/>
      <c r="J169" s="536"/>
    </row>
    <row r="170" spans="1:10" x14ac:dyDescent="0.25">
      <c r="A170" s="535" t="s">
        <v>179</v>
      </c>
      <c r="B170" s="406" t="s">
        <v>563</v>
      </c>
      <c r="C170" s="535">
        <v>2</v>
      </c>
      <c r="D170" s="408" t="s">
        <v>565</v>
      </c>
      <c r="E170" s="407"/>
      <c r="F170" s="535" t="s">
        <v>566</v>
      </c>
      <c r="G170" s="535"/>
      <c r="H170" s="407"/>
      <c r="I170" s="407"/>
      <c r="J170" s="407"/>
    </row>
    <row r="171" spans="1:10" x14ac:dyDescent="0.25">
      <c r="A171" s="535"/>
      <c r="B171" s="406" t="s">
        <v>564</v>
      </c>
      <c r="C171" s="535"/>
      <c r="D171" s="407"/>
      <c r="E171" s="407"/>
      <c r="F171" s="535"/>
      <c r="G171" s="535"/>
      <c r="H171" s="407"/>
      <c r="I171" s="407"/>
      <c r="J171" s="407"/>
    </row>
    <row r="172" spans="1:10" x14ac:dyDescent="0.25">
      <c r="A172" s="536"/>
      <c r="B172" s="536"/>
      <c r="C172" s="536"/>
      <c r="D172" s="536"/>
      <c r="E172" s="536"/>
      <c r="F172" s="536"/>
      <c r="G172" s="536"/>
      <c r="H172" s="536"/>
      <c r="I172" s="536"/>
      <c r="J172" s="536"/>
    </row>
    <row r="173" spans="1:10" x14ac:dyDescent="0.25">
      <c r="A173" s="542" t="s">
        <v>180</v>
      </c>
      <c r="B173" s="421" t="s">
        <v>567</v>
      </c>
      <c r="C173" s="542">
        <v>3063</v>
      </c>
      <c r="D173" s="422" t="s">
        <v>569</v>
      </c>
      <c r="E173" s="423"/>
      <c r="F173" s="542" t="s">
        <v>570</v>
      </c>
      <c r="G173" s="542"/>
      <c r="H173" s="407"/>
      <c r="I173" s="407"/>
      <c r="J173" s="407"/>
    </row>
    <row r="174" spans="1:10" x14ac:dyDescent="0.25">
      <c r="A174" s="542"/>
      <c r="B174" s="421" t="s">
        <v>568</v>
      </c>
      <c r="C174" s="542"/>
      <c r="D174" s="423"/>
      <c r="E174" s="423"/>
      <c r="F174" s="542"/>
      <c r="G174" s="542"/>
      <c r="H174" s="407"/>
      <c r="I174" s="407"/>
      <c r="J174" s="407"/>
    </row>
    <row r="175" spans="1:10" x14ac:dyDescent="0.25">
      <c r="A175" s="536"/>
      <c r="B175" s="536"/>
      <c r="C175" s="536"/>
      <c r="D175" s="536"/>
      <c r="E175" s="536"/>
      <c r="F175" s="536"/>
      <c r="G175" s="536"/>
      <c r="H175" s="536"/>
      <c r="I175" s="536"/>
      <c r="J175" s="536"/>
    </row>
    <row r="176" spans="1:10" x14ac:dyDescent="0.25">
      <c r="A176" s="535" t="s">
        <v>181</v>
      </c>
      <c r="B176" s="406" t="s">
        <v>571</v>
      </c>
      <c r="C176" s="535">
        <v>2</v>
      </c>
      <c r="D176" s="408" t="s">
        <v>573</v>
      </c>
      <c r="E176" s="407"/>
      <c r="F176" s="535" t="s">
        <v>574</v>
      </c>
      <c r="G176" s="535"/>
      <c r="H176" s="407"/>
      <c r="I176" s="407"/>
      <c r="J176" s="407"/>
    </row>
    <row r="177" spans="1:10" ht="22.5" x14ac:dyDescent="0.25">
      <c r="A177" s="535"/>
      <c r="B177" s="406" t="s">
        <v>572</v>
      </c>
      <c r="C177" s="535"/>
      <c r="D177" s="407"/>
      <c r="E177" s="407"/>
      <c r="F177" s="535"/>
      <c r="G177" s="535"/>
      <c r="H177" s="407"/>
      <c r="I177" s="407"/>
      <c r="J177" s="407"/>
    </row>
    <row r="178" spans="1:10" x14ac:dyDescent="0.25">
      <c r="A178" s="536"/>
      <c r="B178" s="536"/>
      <c r="C178" s="536"/>
      <c r="D178" s="536"/>
      <c r="E178" s="536"/>
      <c r="F178" s="536"/>
      <c r="G178" s="536"/>
      <c r="H178" s="536"/>
      <c r="I178" s="536"/>
      <c r="J178" s="536"/>
    </row>
    <row r="179" spans="1:10" x14ac:dyDescent="0.25">
      <c r="A179" s="535" t="s">
        <v>182</v>
      </c>
      <c r="B179" s="406" t="s">
        <v>575</v>
      </c>
      <c r="C179" s="535">
        <v>69</v>
      </c>
      <c r="D179" s="408" t="s">
        <v>577</v>
      </c>
      <c r="E179" s="407"/>
      <c r="F179" s="535" t="s">
        <v>578</v>
      </c>
      <c r="G179" s="535"/>
      <c r="H179" s="407"/>
      <c r="I179" s="407"/>
      <c r="J179" s="407"/>
    </row>
    <row r="180" spans="1:10" x14ac:dyDescent="0.25">
      <c r="A180" s="535"/>
      <c r="B180" s="406" t="s">
        <v>576</v>
      </c>
      <c r="C180" s="535"/>
      <c r="D180" s="407"/>
      <c r="E180" s="407"/>
      <c r="F180" s="535"/>
      <c r="G180" s="535"/>
      <c r="H180" s="407"/>
      <c r="I180" s="407"/>
      <c r="J180" s="407"/>
    </row>
    <row r="181" spans="1:10" x14ac:dyDescent="0.25">
      <c r="A181" s="536"/>
      <c r="B181" s="536"/>
      <c r="C181" s="536"/>
      <c r="D181" s="536"/>
      <c r="E181" s="536"/>
      <c r="F181" s="536"/>
      <c r="G181" s="536"/>
      <c r="H181" s="536"/>
      <c r="I181" s="536"/>
      <c r="J181" s="536"/>
    </row>
    <row r="182" spans="1:10" x14ac:dyDescent="0.25">
      <c r="A182" s="535" t="s">
        <v>183</v>
      </c>
      <c r="B182" s="406" t="s">
        <v>579</v>
      </c>
      <c r="C182" s="535">
        <v>69</v>
      </c>
      <c r="D182" s="417">
        <v>9.9</v>
      </c>
      <c r="E182" s="407"/>
      <c r="F182" s="535" t="s">
        <v>581</v>
      </c>
      <c r="G182" s="535"/>
      <c r="H182" s="407"/>
      <c r="I182" s="407"/>
      <c r="J182" s="407"/>
    </row>
    <row r="183" spans="1:10" x14ac:dyDescent="0.25">
      <c r="A183" s="535"/>
      <c r="B183" s="406" t="s">
        <v>580</v>
      </c>
      <c r="C183" s="535"/>
      <c r="D183" s="407"/>
      <c r="E183" s="407"/>
      <c r="F183" s="535"/>
      <c r="G183" s="535"/>
      <c r="H183" s="407"/>
      <c r="I183" s="407"/>
      <c r="J183" s="407"/>
    </row>
    <row r="184" spans="1:10" x14ac:dyDescent="0.25">
      <c r="A184" s="536"/>
      <c r="B184" s="536"/>
      <c r="C184" s="536"/>
      <c r="D184" s="536"/>
      <c r="E184" s="536"/>
      <c r="F184" s="536"/>
      <c r="G184" s="536"/>
      <c r="H184" s="536"/>
      <c r="I184" s="536"/>
      <c r="J184" s="536"/>
    </row>
    <row r="185" spans="1:10" x14ac:dyDescent="0.25">
      <c r="A185" s="535" t="s">
        <v>184</v>
      </c>
      <c r="B185" s="406" t="s">
        <v>582</v>
      </c>
      <c r="C185" s="535">
        <v>138</v>
      </c>
      <c r="D185" s="408" t="s">
        <v>584</v>
      </c>
      <c r="E185" s="407"/>
      <c r="F185" s="535" t="s">
        <v>585</v>
      </c>
      <c r="G185" s="535"/>
      <c r="H185" s="407"/>
      <c r="I185" s="407"/>
      <c r="J185" s="407"/>
    </row>
    <row r="186" spans="1:10" ht="22.5" x14ac:dyDescent="0.25">
      <c r="A186" s="535"/>
      <c r="B186" s="406" t="s">
        <v>583</v>
      </c>
      <c r="C186" s="535"/>
      <c r="D186" s="407"/>
      <c r="E186" s="407"/>
      <c r="F186" s="535"/>
      <c r="G186" s="535"/>
      <c r="H186" s="407"/>
      <c r="I186" s="407"/>
      <c r="J186" s="407"/>
    </row>
    <row r="187" spans="1:10" x14ac:dyDescent="0.25">
      <c r="A187" s="536"/>
      <c r="B187" s="536"/>
      <c r="C187" s="536"/>
      <c r="D187" s="536"/>
      <c r="E187" s="536"/>
      <c r="F187" s="536"/>
      <c r="G187" s="536"/>
      <c r="H187" s="536"/>
      <c r="I187" s="536"/>
      <c r="J187" s="536"/>
    </row>
    <row r="188" spans="1:10" x14ac:dyDescent="0.25">
      <c r="A188" s="535" t="s">
        <v>187</v>
      </c>
      <c r="B188" s="406" t="s">
        <v>586</v>
      </c>
      <c r="C188" s="535">
        <v>42</v>
      </c>
      <c r="D188" s="408" t="s">
        <v>588</v>
      </c>
      <c r="E188" s="407"/>
      <c r="F188" s="535" t="s">
        <v>589</v>
      </c>
      <c r="G188" s="535"/>
      <c r="H188" s="407"/>
      <c r="I188" s="407"/>
      <c r="J188" s="407"/>
    </row>
    <row r="189" spans="1:10" x14ac:dyDescent="0.25">
      <c r="A189" s="535"/>
      <c r="B189" s="406" t="s">
        <v>587</v>
      </c>
      <c r="C189" s="535"/>
      <c r="D189" s="407"/>
      <c r="E189" s="407"/>
      <c r="F189" s="535"/>
      <c r="G189" s="535"/>
      <c r="H189" s="407"/>
      <c r="I189" s="407"/>
      <c r="J189" s="407"/>
    </row>
    <row r="190" spans="1:10" x14ac:dyDescent="0.25">
      <c r="A190" s="536"/>
      <c r="B190" s="536"/>
      <c r="C190" s="536"/>
      <c r="D190" s="536"/>
      <c r="E190" s="536"/>
      <c r="F190" s="536"/>
      <c r="G190" s="536"/>
      <c r="H190" s="536"/>
      <c r="I190" s="536"/>
      <c r="J190" s="536"/>
    </row>
    <row r="191" spans="1:10" x14ac:dyDescent="0.25">
      <c r="A191" s="535" t="s">
        <v>249</v>
      </c>
      <c r="B191" s="406" t="s">
        <v>590</v>
      </c>
      <c r="C191" s="535">
        <v>21</v>
      </c>
      <c r="D191" s="408" t="s">
        <v>592</v>
      </c>
      <c r="E191" s="407"/>
      <c r="F191" s="535" t="s">
        <v>593</v>
      </c>
      <c r="G191" s="535"/>
      <c r="H191" s="407"/>
      <c r="I191" s="407"/>
      <c r="J191" s="407"/>
    </row>
    <row r="192" spans="1:10" x14ac:dyDescent="0.25">
      <c r="A192" s="535"/>
      <c r="B192" s="406" t="s">
        <v>591</v>
      </c>
      <c r="C192" s="535"/>
      <c r="D192" s="407"/>
      <c r="E192" s="407"/>
      <c r="F192" s="535"/>
      <c r="G192" s="535"/>
      <c r="H192" s="407"/>
      <c r="I192" s="407"/>
      <c r="J192" s="407"/>
    </row>
    <row r="193" spans="1:10" x14ac:dyDescent="0.25">
      <c r="A193" s="536"/>
      <c r="B193" s="536"/>
      <c r="C193" s="536"/>
      <c r="D193" s="536"/>
      <c r="E193" s="536"/>
      <c r="F193" s="536"/>
      <c r="G193" s="536"/>
      <c r="H193" s="536"/>
      <c r="I193" s="536"/>
      <c r="J193" s="536"/>
    </row>
    <row r="194" spans="1:10" x14ac:dyDescent="0.25">
      <c r="A194" s="535" t="s">
        <v>250</v>
      </c>
      <c r="B194" s="406" t="s">
        <v>594</v>
      </c>
      <c r="C194" s="535">
        <v>6</v>
      </c>
      <c r="D194" s="408" t="s">
        <v>596</v>
      </c>
      <c r="E194" s="407"/>
      <c r="F194" s="535" t="s">
        <v>597</v>
      </c>
      <c r="G194" s="535"/>
      <c r="H194" s="407"/>
      <c r="I194" s="407"/>
      <c r="J194" s="407"/>
    </row>
    <row r="195" spans="1:10" ht="22.5" x14ac:dyDescent="0.25">
      <c r="A195" s="535"/>
      <c r="B195" s="406" t="s">
        <v>595</v>
      </c>
      <c r="C195" s="535"/>
      <c r="D195" s="407"/>
      <c r="E195" s="407"/>
      <c r="F195" s="535"/>
      <c r="G195" s="535"/>
      <c r="H195" s="407"/>
      <c r="I195" s="407"/>
      <c r="J195" s="407"/>
    </row>
    <row r="196" spans="1:10" x14ac:dyDescent="0.25">
      <c r="A196" s="536"/>
      <c r="B196" s="536"/>
      <c r="C196" s="536"/>
      <c r="D196" s="536"/>
      <c r="E196" s="536"/>
      <c r="F196" s="536"/>
      <c r="G196" s="536"/>
      <c r="H196" s="536"/>
      <c r="I196" s="536"/>
      <c r="J196" s="536"/>
    </row>
    <row r="197" spans="1:10" x14ac:dyDescent="0.25">
      <c r="A197" s="535" t="s">
        <v>251</v>
      </c>
      <c r="B197" s="406" t="s">
        <v>598</v>
      </c>
      <c r="C197" s="535">
        <v>15</v>
      </c>
      <c r="D197" s="408" t="s">
        <v>600</v>
      </c>
      <c r="E197" s="407"/>
      <c r="F197" s="535" t="s">
        <v>601</v>
      </c>
      <c r="G197" s="535"/>
      <c r="H197" s="407"/>
      <c r="I197" s="407"/>
      <c r="J197" s="407"/>
    </row>
    <row r="198" spans="1:10" x14ac:dyDescent="0.25">
      <c r="A198" s="535"/>
      <c r="B198" s="406" t="s">
        <v>599</v>
      </c>
      <c r="C198" s="535"/>
      <c r="D198" s="407"/>
      <c r="E198" s="407"/>
      <c r="F198" s="535"/>
      <c r="G198" s="535"/>
      <c r="H198" s="407"/>
      <c r="I198" s="407"/>
      <c r="J198" s="407"/>
    </row>
    <row r="199" spans="1:10" x14ac:dyDescent="0.25">
      <c r="A199" s="536"/>
      <c r="B199" s="536"/>
      <c r="C199" s="536"/>
      <c r="D199" s="536"/>
      <c r="E199" s="536"/>
      <c r="F199" s="536"/>
      <c r="G199" s="536"/>
      <c r="H199" s="536"/>
      <c r="I199" s="536"/>
      <c r="J199" s="536"/>
    </row>
    <row r="200" spans="1:10" x14ac:dyDescent="0.25">
      <c r="A200" s="535" t="s">
        <v>252</v>
      </c>
      <c r="B200" s="406" t="s">
        <v>602</v>
      </c>
      <c r="C200" s="535">
        <v>30</v>
      </c>
      <c r="D200" s="408" t="s">
        <v>604</v>
      </c>
      <c r="E200" s="407"/>
      <c r="F200" s="535" t="s">
        <v>605</v>
      </c>
      <c r="G200" s="535"/>
      <c r="H200" s="407"/>
      <c r="I200" s="407"/>
      <c r="J200" s="407"/>
    </row>
    <row r="201" spans="1:10" ht="22.5" x14ac:dyDescent="0.25">
      <c r="A201" s="535"/>
      <c r="B201" s="406" t="s">
        <v>603</v>
      </c>
      <c r="C201" s="535"/>
      <c r="D201" s="407"/>
      <c r="E201" s="407"/>
      <c r="F201" s="535"/>
      <c r="G201" s="535"/>
      <c r="H201" s="407"/>
      <c r="I201" s="407"/>
      <c r="J201" s="407"/>
    </row>
    <row r="202" spans="1:10" x14ac:dyDescent="0.25">
      <c r="A202" s="536"/>
      <c r="B202" s="536"/>
      <c r="C202" s="536"/>
      <c r="D202" s="536"/>
      <c r="E202" s="536"/>
      <c r="F202" s="536"/>
      <c r="G202" s="536"/>
      <c r="H202" s="536"/>
      <c r="I202" s="536"/>
      <c r="J202" s="536"/>
    </row>
    <row r="203" spans="1:10" x14ac:dyDescent="0.25">
      <c r="A203" s="535" t="s">
        <v>253</v>
      </c>
      <c r="B203" s="406" t="s">
        <v>606</v>
      </c>
      <c r="C203" s="535">
        <v>30</v>
      </c>
      <c r="D203" s="408" t="s">
        <v>608</v>
      </c>
      <c r="E203" s="407"/>
      <c r="F203" s="535" t="s">
        <v>609</v>
      </c>
      <c r="G203" s="535"/>
      <c r="H203" s="407"/>
      <c r="I203" s="407"/>
      <c r="J203" s="407"/>
    </row>
    <row r="204" spans="1:10" ht="22.5" x14ac:dyDescent="0.25">
      <c r="A204" s="535"/>
      <c r="B204" s="406" t="s">
        <v>607</v>
      </c>
      <c r="C204" s="535"/>
      <c r="D204" s="407"/>
      <c r="E204" s="407"/>
      <c r="F204" s="535"/>
      <c r="G204" s="535"/>
      <c r="H204" s="407"/>
      <c r="I204" s="407"/>
      <c r="J204" s="407"/>
    </row>
    <row r="205" spans="1:10" x14ac:dyDescent="0.25">
      <c r="A205" s="536"/>
      <c r="B205" s="536"/>
      <c r="C205" s="536"/>
      <c r="D205" s="536"/>
      <c r="E205" s="536"/>
      <c r="F205" s="536"/>
      <c r="G205" s="536"/>
      <c r="H205" s="536"/>
      <c r="I205" s="536"/>
      <c r="J205" s="536"/>
    </row>
    <row r="206" spans="1:10" x14ac:dyDescent="0.25">
      <c r="A206" s="535" t="s">
        <v>254</v>
      </c>
      <c r="B206" s="406" t="s">
        <v>610</v>
      </c>
      <c r="C206" s="535">
        <v>12</v>
      </c>
      <c r="D206" s="408" t="s">
        <v>612</v>
      </c>
      <c r="E206" s="407"/>
      <c r="F206" s="535" t="s">
        <v>613</v>
      </c>
      <c r="G206" s="535"/>
      <c r="H206" s="407"/>
      <c r="I206" s="407"/>
      <c r="J206" s="407"/>
    </row>
    <row r="207" spans="1:10" ht="22.5" x14ac:dyDescent="0.25">
      <c r="A207" s="535"/>
      <c r="B207" s="406" t="s">
        <v>611</v>
      </c>
      <c r="C207" s="535"/>
      <c r="D207" s="407"/>
      <c r="E207" s="407"/>
      <c r="F207" s="535"/>
      <c r="G207" s="535"/>
      <c r="H207" s="407"/>
      <c r="I207" s="407"/>
      <c r="J207" s="407"/>
    </row>
    <row r="208" spans="1:10" x14ac:dyDescent="0.25">
      <c r="A208" s="536"/>
      <c r="B208" s="536"/>
      <c r="C208" s="536"/>
      <c r="D208" s="536"/>
      <c r="E208" s="536"/>
      <c r="F208" s="536"/>
      <c r="G208" s="536"/>
      <c r="H208" s="536"/>
      <c r="I208" s="536"/>
      <c r="J208" s="536"/>
    </row>
    <row r="209" spans="1:10" x14ac:dyDescent="0.25">
      <c r="A209" s="535" t="s">
        <v>255</v>
      </c>
      <c r="B209" s="406" t="s">
        <v>614</v>
      </c>
      <c r="C209" s="535">
        <v>2</v>
      </c>
      <c r="D209" s="408" t="s">
        <v>616</v>
      </c>
      <c r="E209" s="407"/>
      <c r="F209" s="535" t="s">
        <v>307</v>
      </c>
      <c r="G209" s="535"/>
      <c r="H209" s="407"/>
      <c r="I209" s="407"/>
      <c r="J209" s="407"/>
    </row>
    <row r="210" spans="1:10" ht="22.5" x14ac:dyDescent="0.25">
      <c r="A210" s="535"/>
      <c r="B210" s="406" t="s">
        <v>615</v>
      </c>
      <c r="C210" s="535"/>
      <c r="D210" s="407"/>
      <c r="E210" s="407"/>
      <c r="F210" s="535"/>
      <c r="G210" s="535"/>
      <c r="H210" s="407"/>
      <c r="I210" s="407"/>
      <c r="J210" s="407"/>
    </row>
    <row r="211" spans="1:10" x14ac:dyDescent="0.25">
      <c r="A211" s="536"/>
      <c r="B211" s="536"/>
      <c r="C211" s="536"/>
      <c r="D211" s="536"/>
      <c r="E211" s="536"/>
      <c r="F211" s="536"/>
      <c r="G211" s="536"/>
      <c r="H211" s="536"/>
      <c r="I211" s="536"/>
      <c r="J211" s="536"/>
    </row>
    <row r="212" spans="1:10" x14ac:dyDescent="0.25">
      <c r="A212" s="535" t="s">
        <v>256</v>
      </c>
      <c r="B212" s="406" t="s">
        <v>617</v>
      </c>
      <c r="C212" s="535">
        <v>22</v>
      </c>
      <c r="D212" s="408" t="s">
        <v>619</v>
      </c>
      <c r="E212" s="407"/>
      <c r="F212" s="535" t="s">
        <v>620</v>
      </c>
      <c r="G212" s="535"/>
      <c r="H212" s="407"/>
      <c r="I212" s="407"/>
      <c r="J212" s="407"/>
    </row>
    <row r="213" spans="1:10" x14ac:dyDescent="0.25">
      <c r="A213" s="535"/>
      <c r="B213" s="406" t="s">
        <v>618</v>
      </c>
      <c r="C213" s="535"/>
      <c r="D213" s="407"/>
      <c r="E213" s="407"/>
      <c r="F213" s="535"/>
      <c r="G213" s="535"/>
      <c r="H213" s="407"/>
      <c r="I213" s="407"/>
      <c r="J213" s="407"/>
    </row>
    <row r="214" spans="1:10" x14ac:dyDescent="0.25">
      <c r="A214" s="536"/>
      <c r="B214" s="536"/>
      <c r="C214" s="536"/>
      <c r="D214" s="536"/>
      <c r="E214" s="536"/>
      <c r="F214" s="536"/>
      <c r="G214" s="536"/>
      <c r="H214" s="536"/>
      <c r="I214" s="536"/>
      <c r="J214" s="536"/>
    </row>
    <row r="215" spans="1:10" x14ac:dyDescent="0.25">
      <c r="A215" s="535" t="s">
        <v>257</v>
      </c>
      <c r="B215" s="406" t="s">
        <v>621</v>
      </c>
      <c r="C215" s="535">
        <v>2</v>
      </c>
      <c r="D215" s="408" t="s">
        <v>623</v>
      </c>
      <c r="E215" s="407"/>
      <c r="F215" s="535" t="s">
        <v>624</v>
      </c>
      <c r="G215" s="535"/>
      <c r="H215" s="407"/>
      <c r="I215" s="407"/>
      <c r="J215" s="407"/>
    </row>
    <row r="216" spans="1:10" x14ac:dyDescent="0.25">
      <c r="A216" s="535"/>
      <c r="B216" s="406" t="s">
        <v>622</v>
      </c>
      <c r="C216" s="535"/>
      <c r="D216" s="407"/>
      <c r="E216" s="407"/>
      <c r="F216" s="535"/>
      <c r="G216" s="535"/>
      <c r="H216" s="407"/>
      <c r="I216" s="407"/>
      <c r="J216" s="407"/>
    </row>
    <row r="217" spans="1:10" x14ac:dyDescent="0.25">
      <c r="A217" s="536"/>
      <c r="B217" s="536"/>
      <c r="C217" s="536"/>
      <c r="D217" s="536"/>
      <c r="E217" s="536"/>
      <c r="F217" s="536"/>
      <c r="G217" s="536"/>
      <c r="H217" s="536"/>
      <c r="I217" s="536"/>
      <c r="J217" s="536"/>
    </row>
    <row r="218" spans="1:10" x14ac:dyDescent="0.25">
      <c r="A218" s="535" t="s">
        <v>258</v>
      </c>
      <c r="B218" s="406" t="s">
        <v>625</v>
      </c>
      <c r="C218" s="535">
        <v>22</v>
      </c>
      <c r="D218" s="417">
        <v>1.27</v>
      </c>
      <c r="E218" s="407"/>
      <c r="F218" s="535" t="s">
        <v>627</v>
      </c>
      <c r="G218" s="535"/>
      <c r="H218" s="407"/>
      <c r="I218" s="407"/>
      <c r="J218" s="407"/>
    </row>
    <row r="219" spans="1:10" x14ac:dyDescent="0.25">
      <c r="A219" s="535"/>
      <c r="B219" s="406" t="s">
        <v>626</v>
      </c>
      <c r="C219" s="535"/>
      <c r="D219" s="407"/>
      <c r="E219" s="407"/>
      <c r="F219" s="535"/>
      <c r="G219" s="535"/>
      <c r="H219" s="407"/>
      <c r="I219" s="407"/>
      <c r="J219" s="407"/>
    </row>
    <row r="220" spans="1:10" x14ac:dyDescent="0.25">
      <c r="A220" s="536"/>
      <c r="B220" s="536"/>
      <c r="C220" s="536"/>
      <c r="D220" s="536"/>
      <c r="E220" s="536"/>
      <c r="F220" s="536"/>
      <c r="G220" s="536"/>
      <c r="H220" s="536"/>
      <c r="I220" s="536"/>
      <c r="J220" s="536"/>
    </row>
    <row r="221" spans="1:10" x14ac:dyDescent="0.25">
      <c r="A221" s="535" t="s">
        <v>260</v>
      </c>
      <c r="B221" s="406" t="s">
        <v>628</v>
      </c>
      <c r="C221" s="535">
        <v>22</v>
      </c>
      <c r="D221" s="408" t="s">
        <v>630</v>
      </c>
      <c r="E221" s="407"/>
      <c r="F221" s="535" t="s">
        <v>631</v>
      </c>
      <c r="G221" s="535"/>
      <c r="H221" s="407"/>
      <c r="I221" s="407"/>
      <c r="J221" s="407"/>
    </row>
    <row r="222" spans="1:10" x14ac:dyDescent="0.25">
      <c r="A222" s="535"/>
      <c r="B222" s="406" t="s">
        <v>629</v>
      </c>
      <c r="C222" s="535"/>
      <c r="D222" s="407"/>
      <c r="E222" s="407"/>
      <c r="F222" s="535"/>
      <c r="G222" s="535"/>
      <c r="H222" s="407"/>
      <c r="I222" s="407"/>
      <c r="J222" s="407"/>
    </row>
    <row r="223" spans="1:10" x14ac:dyDescent="0.25">
      <c r="A223" s="536"/>
      <c r="B223" s="536"/>
      <c r="C223" s="536"/>
      <c r="D223" s="536"/>
      <c r="E223" s="536"/>
      <c r="F223" s="536"/>
      <c r="G223" s="536"/>
      <c r="H223" s="536"/>
      <c r="I223" s="536"/>
      <c r="J223" s="536"/>
    </row>
    <row r="224" spans="1:10" x14ac:dyDescent="0.25">
      <c r="A224" s="535" t="s">
        <v>261</v>
      </c>
      <c r="B224" s="406" t="s">
        <v>632</v>
      </c>
      <c r="C224" s="535">
        <v>6</v>
      </c>
      <c r="D224" s="408" t="s">
        <v>634</v>
      </c>
      <c r="E224" s="407"/>
      <c r="F224" s="535" t="s">
        <v>635</v>
      </c>
      <c r="G224" s="535"/>
      <c r="H224" s="407"/>
      <c r="I224" s="407"/>
      <c r="J224" s="407"/>
    </row>
    <row r="225" spans="1:10" x14ac:dyDescent="0.25">
      <c r="A225" s="535"/>
      <c r="B225" s="406" t="s">
        <v>633</v>
      </c>
      <c r="C225" s="535"/>
      <c r="D225" s="407"/>
      <c r="E225" s="407"/>
      <c r="F225" s="535"/>
      <c r="G225" s="535"/>
      <c r="H225" s="407"/>
      <c r="I225" s="407"/>
      <c r="J225" s="407"/>
    </row>
    <row r="226" spans="1:10" x14ac:dyDescent="0.25">
      <c r="A226" s="536"/>
      <c r="B226" s="536"/>
      <c r="C226" s="536"/>
      <c r="D226" s="536"/>
      <c r="E226" s="536"/>
      <c r="F226" s="536"/>
      <c r="G226" s="536"/>
      <c r="H226" s="536"/>
      <c r="I226" s="536"/>
      <c r="J226" s="536"/>
    </row>
    <row r="227" spans="1:10" x14ac:dyDescent="0.25">
      <c r="A227" s="535" t="s">
        <v>262</v>
      </c>
      <c r="B227" s="406" t="s">
        <v>636</v>
      </c>
      <c r="C227" s="535">
        <v>399</v>
      </c>
      <c r="D227" s="408" t="s">
        <v>616</v>
      </c>
      <c r="E227" s="407"/>
      <c r="F227" s="535" t="s">
        <v>638</v>
      </c>
      <c r="G227" s="535"/>
      <c r="H227" s="407"/>
      <c r="I227" s="407"/>
      <c r="J227" s="407"/>
    </row>
    <row r="228" spans="1:10" x14ac:dyDescent="0.25">
      <c r="A228" s="535"/>
      <c r="B228" s="406" t="s">
        <v>637</v>
      </c>
      <c r="C228" s="535"/>
      <c r="D228" s="407"/>
      <c r="E228" s="407"/>
      <c r="F228" s="535"/>
      <c r="G228" s="535"/>
      <c r="H228" s="407"/>
      <c r="I228" s="407"/>
      <c r="J228" s="407"/>
    </row>
    <row r="229" spans="1:10" x14ac:dyDescent="0.25">
      <c r="A229" s="536"/>
      <c r="B229" s="536"/>
      <c r="C229" s="536"/>
      <c r="D229" s="536"/>
      <c r="E229" s="536"/>
      <c r="F229" s="536"/>
      <c r="G229" s="536"/>
      <c r="H229" s="536"/>
      <c r="I229" s="536"/>
      <c r="J229" s="536"/>
    </row>
    <row r="230" spans="1:10" x14ac:dyDescent="0.25">
      <c r="A230" s="535" t="s">
        <v>263</v>
      </c>
      <c r="B230" s="406" t="s">
        <v>639</v>
      </c>
      <c r="C230" s="535">
        <v>40</v>
      </c>
      <c r="D230" s="408" t="s">
        <v>641</v>
      </c>
      <c r="E230" s="407"/>
      <c r="F230" s="535" t="s">
        <v>642</v>
      </c>
      <c r="G230" s="535"/>
      <c r="H230" s="407"/>
      <c r="I230" s="407"/>
      <c r="J230" s="407"/>
    </row>
    <row r="231" spans="1:10" x14ac:dyDescent="0.25">
      <c r="A231" s="535"/>
      <c r="B231" s="406" t="s">
        <v>640</v>
      </c>
      <c r="C231" s="535"/>
      <c r="D231" s="407"/>
      <c r="E231" s="407"/>
      <c r="F231" s="535"/>
      <c r="G231" s="535"/>
      <c r="H231" s="407"/>
      <c r="I231" s="407"/>
      <c r="J231" s="407"/>
    </row>
    <row r="232" spans="1:10" x14ac:dyDescent="0.25">
      <c r="A232" s="536"/>
      <c r="B232" s="536"/>
      <c r="C232" s="536"/>
      <c r="D232" s="536"/>
      <c r="E232" s="536"/>
      <c r="F232" s="536"/>
      <c r="G232" s="536"/>
      <c r="H232" s="536"/>
      <c r="I232" s="536"/>
      <c r="J232" s="536"/>
    </row>
    <row r="233" spans="1:10" x14ac:dyDescent="0.25">
      <c r="A233" s="409"/>
      <c r="B233" s="411" t="s">
        <v>145</v>
      </c>
      <c r="C233" s="409"/>
      <c r="D233" s="409"/>
      <c r="E233" s="409"/>
      <c r="F233" s="409" t="s">
        <v>643</v>
      </c>
      <c r="G233" s="409"/>
      <c r="H233" s="409"/>
      <c r="I233" s="409"/>
      <c r="J233" s="409"/>
    </row>
    <row r="234" spans="1:10" ht="33" x14ac:dyDescent="0.25">
      <c r="A234" s="409"/>
      <c r="B234" s="411" t="s">
        <v>112</v>
      </c>
      <c r="C234" s="409"/>
      <c r="D234" s="409"/>
      <c r="E234" s="409"/>
      <c r="F234" s="409" t="s">
        <v>643</v>
      </c>
      <c r="G234" s="409"/>
      <c r="H234" s="409"/>
      <c r="I234" s="409"/>
      <c r="J234" s="409"/>
    </row>
    <row r="235" spans="1:10" ht="33" x14ac:dyDescent="0.25">
      <c r="A235" s="409"/>
      <c r="B235" s="411" t="s">
        <v>113</v>
      </c>
      <c r="C235" s="409"/>
      <c r="D235" s="409"/>
      <c r="E235" s="409"/>
      <c r="F235" s="409" t="s">
        <v>643</v>
      </c>
      <c r="G235" s="409"/>
      <c r="H235" s="409"/>
      <c r="I235" s="409"/>
      <c r="J235" s="425">
        <f>F236+F94</f>
        <v>1171439.73</v>
      </c>
    </row>
    <row r="236" spans="1:10" x14ac:dyDescent="0.25">
      <c r="A236" s="409"/>
      <c r="B236" s="411" t="s">
        <v>148</v>
      </c>
      <c r="C236" s="409"/>
      <c r="D236" s="409"/>
      <c r="E236" s="409"/>
      <c r="F236" s="424">
        <v>758539.46</v>
      </c>
      <c r="G236" s="409"/>
      <c r="H236" s="409"/>
      <c r="I236" s="409"/>
      <c r="J236" s="409"/>
    </row>
    <row r="237" spans="1:10" x14ac:dyDescent="0.25">
      <c r="A237" s="409"/>
      <c r="B237" s="411" t="s">
        <v>240</v>
      </c>
      <c r="C237" s="409"/>
      <c r="D237" s="409"/>
      <c r="E237" s="409"/>
      <c r="F237" s="409"/>
      <c r="G237" s="409"/>
      <c r="H237" s="409"/>
      <c r="I237" s="409"/>
      <c r="J237" s="409"/>
    </row>
    <row r="238" spans="1:10" x14ac:dyDescent="0.25">
      <c r="A238" s="409"/>
      <c r="B238" s="411" t="s">
        <v>241</v>
      </c>
      <c r="C238" s="409"/>
      <c r="D238" s="409"/>
      <c r="E238" s="409"/>
      <c r="F238" s="409" t="s">
        <v>643</v>
      </c>
      <c r="G238" s="409"/>
      <c r="H238" s="409"/>
      <c r="I238" s="409"/>
      <c r="J238" s="409"/>
    </row>
    <row r="239" spans="1:10" x14ac:dyDescent="0.25">
      <c r="A239" s="409"/>
      <c r="B239" s="411" t="s">
        <v>247</v>
      </c>
      <c r="C239" s="409">
        <v>20</v>
      </c>
      <c r="D239" s="409"/>
      <c r="E239" s="409"/>
      <c r="F239" s="409" t="s">
        <v>644</v>
      </c>
      <c r="G239" s="409"/>
      <c r="H239" s="409"/>
      <c r="I239" s="409"/>
      <c r="J239" s="409"/>
    </row>
    <row r="240" spans="1:10" ht="22.5" x14ac:dyDescent="0.25">
      <c r="A240" s="409"/>
      <c r="B240" s="411" t="s">
        <v>259</v>
      </c>
      <c r="C240" s="409"/>
      <c r="D240" s="409"/>
      <c r="E240" s="409"/>
      <c r="F240" s="409" t="s">
        <v>645</v>
      </c>
      <c r="G240" s="409"/>
      <c r="H240" s="409"/>
      <c r="I240" s="409"/>
      <c r="J240" s="409"/>
    </row>
    <row r="241" spans="1:10" x14ac:dyDescent="0.25">
      <c r="A241" s="536"/>
      <c r="B241" s="536"/>
      <c r="C241" s="536"/>
      <c r="D241" s="536"/>
      <c r="E241" s="536"/>
      <c r="F241" s="536"/>
      <c r="G241" s="536"/>
      <c r="H241" s="536"/>
      <c r="I241" s="536"/>
      <c r="J241" s="536"/>
    </row>
    <row r="242" spans="1:10" x14ac:dyDescent="0.25">
      <c r="A242" s="406"/>
      <c r="B242" s="541" t="s">
        <v>646</v>
      </c>
      <c r="C242" s="541"/>
      <c r="D242" s="541"/>
      <c r="E242" s="541"/>
      <c r="F242" s="541"/>
      <c r="G242" s="541"/>
      <c r="H242" s="541"/>
      <c r="I242" s="541"/>
      <c r="J242" s="541"/>
    </row>
    <row r="243" spans="1:10" x14ac:dyDescent="0.25">
      <c r="A243" s="536"/>
      <c r="B243" s="536"/>
      <c r="C243" s="536"/>
      <c r="D243" s="536"/>
      <c r="E243" s="536"/>
      <c r="F243" s="536"/>
      <c r="G243" s="536"/>
      <c r="H243" s="536"/>
      <c r="I243" s="536"/>
      <c r="J243" s="536"/>
    </row>
    <row r="244" spans="1:10" x14ac:dyDescent="0.25">
      <c r="A244" s="535" t="s">
        <v>264</v>
      </c>
      <c r="B244" s="406" t="s">
        <v>647</v>
      </c>
      <c r="C244" s="535" t="s">
        <v>650</v>
      </c>
      <c r="D244" s="537" t="s">
        <v>651</v>
      </c>
      <c r="E244" s="537" t="s">
        <v>651</v>
      </c>
      <c r="F244" s="535" t="s">
        <v>652</v>
      </c>
      <c r="G244" s="535"/>
      <c r="H244" s="537" t="s">
        <v>652</v>
      </c>
      <c r="I244" s="535"/>
      <c r="J244" s="535"/>
    </row>
    <row r="245" spans="1:10" ht="22.5" x14ac:dyDescent="0.25">
      <c r="A245" s="535"/>
      <c r="B245" s="406" t="s">
        <v>648</v>
      </c>
      <c r="C245" s="535"/>
      <c r="D245" s="537"/>
      <c r="E245" s="537"/>
      <c r="F245" s="535"/>
      <c r="G245" s="535"/>
      <c r="H245" s="537"/>
      <c r="I245" s="535"/>
      <c r="J245" s="535"/>
    </row>
    <row r="246" spans="1:10" ht="64.5" x14ac:dyDescent="0.25">
      <c r="A246" s="535"/>
      <c r="B246" s="406" t="s">
        <v>649</v>
      </c>
      <c r="C246" s="535"/>
      <c r="D246" s="407"/>
      <c r="E246" s="407" t="s">
        <v>653</v>
      </c>
      <c r="F246" s="535"/>
      <c r="G246" s="535"/>
      <c r="H246" s="407" t="s">
        <v>654</v>
      </c>
      <c r="I246" s="407" t="s">
        <v>655</v>
      </c>
      <c r="J246" s="407" t="s">
        <v>656</v>
      </c>
    </row>
    <row r="247" spans="1:10" x14ac:dyDescent="0.25">
      <c r="A247" s="536"/>
      <c r="B247" s="536"/>
      <c r="C247" s="536"/>
      <c r="D247" s="536"/>
      <c r="E247" s="536"/>
      <c r="F247" s="536"/>
      <c r="G247" s="536"/>
      <c r="H247" s="536"/>
      <c r="I247" s="536"/>
      <c r="J247" s="536"/>
    </row>
    <row r="248" spans="1:10" x14ac:dyDescent="0.25">
      <c r="A248" s="535" t="s">
        <v>265</v>
      </c>
      <c r="B248" s="406" t="s">
        <v>657</v>
      </c>
      <c r="C248" s="535" t="s">
        <v>650</v>
      </c>
      <c r="D248" s="537" t="s">
        <v>659</v>
      </c>
      <c r="E248" s="537" t="s">
        <v>659</v>
      </c>
      <c r="F248" s="535" t="s">
        <v>660</v>
      </c>
      <c r="G248" s="535"/>
      <c r="H248" s="537" t="s">
        <v>660</v>
      </c>
      <c r="I248" s="535"/>
      <c r="J248" s="535"/>
    </row>
    <row r="249" spans="1:10" ht="22.5" x14ac:dyDescent="0.25">
      <c r="A249" s="535"/>
      <c r="B249" s="406" t="s">
        <v>226</v>
      </c>
      <c r="C249" s="535"/>
      <c r="D249" s="537"/>
      <c r="E249" s="537"/>
      <c r="F249" s="535"/>
      <c r="G249" s="535"/>
      <c r="H249" s="537"/>
      <c r="I249" s="535"/>
      <c r="J249" s="535"/>
    </row>
    <row r="250" spans="1:10" ht="64.5" x14ac:dyDescent="0.25">
      <c r="A250" s="535"/>
      <c r="B250" s="406" t="s">
        <v>658</v>
      </c>
      <c r="C250" s="535"/>
      <c r="D250" s="407"/>
      <c r="E250" s="407" t="s">
        <v>661</v>
      </c>
      <c r="F250" s="535"/>
      <c r="G250" s="535"/>
      <c r="H250" s="407" t="s">
        <v>662</v>
      </c>
      <c r="I250" s="416">
        <v>7.6</v>
      </c>
      <c r="J250" s="407" t="s">
        <v>663</v>
      </c>
    </row>
    <row r="251" spans="1:10" x14ac:dyDescent="0.25">
      <c r="A251" s="536"/>
      <c r="B251" s="536"/>
      <c r="C251" s="536"/>
      <c r="D251" s="536"/>
      <c r="E251" s="536"/>
      <c r="F251" s="536"/>
      <c r="G251" s="536"/>
      <c r="H251" s="536"/>
      <c r="I251" s="536"/>
      <c r="J251" s="536"/>
    </row>
    <row r="252" spans="1:10" x14ac:dyDescent="0.25">
      <c r="A252" s="535" t="s">
        <v>266</v>
      </c>
      <c r="B252" s="406" t="s">
        <v>664</v>
      </c>
      <c r="C252" s="535">
        <v>21</v>
      </c>
      <c r="D252" s="537" t="s">
        <v>667</v>
      </c>
      <c r="E252" s="537" t="s">
        <v>668</v>
      </c>
      <c r="F252" s="535" t="s">
        <v>669</v>
      </c>
      <c r="G252" s="535" t="s">
        <v>670</v>
      </c>
      <c r="H252" s="537" t="s">
        <v>671</v>
      </c>
      <c r="I252" s="537" t="s">
        <v>672</v>
      </c>
      <c r="J252" s="538">
        <v>6.72</v>
      </c>
    </row>
    <row r="253" spans="1:10" ht="22.5" x14ac:dyDescent="0.25">
      <c r="A253" s="535"/>
      <c r="B253" s="406" t="s">
        <v>665</v>
      </c>
      <c r="C253" s="535"/>
      <c r="D253" s="537"/>
      <c r="E253" s="537"/>
      <c r="F253" s="535"/>
      <c r="G253" s="535"/>
      <c r="H253" s="537"/>
      <c r="I253" s="537"/>
      <c r="J253" s="538"/>
    </row>
    <row r="254" spans="1:10" ht="106.5" x14ac:dyDescent="0.25">
      <c r="A254" s="535"/>
      <c r="B254" s="406" t="s">
        <v>666</v>
      </c>
      <c r="C254" s="535"/>
      <c r="D254" s="407" t="s">
        <v>673</v>
      </c>
      <c r="E254" s="407" t="s">
        <v>674</v>
      </c>
      <c r="F254" s="535"/>
      <c r="G254" s="535"/>
      <c r="H254" s="407" t="s">
        <v>675</v>
      </c>
      <c r="I254" s="416">
        <v>3.08</v>
      </c>
      <c r="J254" s="407" t="s">
        <v>676</v>
      </c>
    </row>
    <row r="255" spans="1:10" x14ac:dyDescent="0.25">
      <c r="A255" s="536"/>
      <c r="B255" s="536"/>
      <c r="C255" s="536"/>
      <c r="D255" s="536"/>
      <c r="E255" s="536"/>
      <c r="F255" s="536"/>
      <c r="G255" s="536"/>
      <c r="H255" s="536"/>
      <c r="I255" s="536"/>
      <c r="J255" s="536"/>
    </row>
    <row r="256" spans="1:10" x14ac:dyDescent="0.25">
      <c r="A256" s="535" t="s">
        <v>267</v>
      </c>
      <c r="B256" s="406" t="s">
        <v>677</v>
      </c>
      <c r="C256" s="535" t="s">
        <v>679</v>
      </c>
      <c r="D256" s="537" t="s">
        <v>680</v>
      </c>
      <c r="E256" s="537" t="s">
        <v>681</v>
      </c>
      <c r="F256" s="535" t="s">
        <v>682</v>
      </c>
      <c r="G256" s="535" t="s">
        <v>683</v>
      </c>
      <c r="H256" s="537" t="s">
        <v>684</v>
      </c>
      <c r="I256" s="537" t="s">
        <v>685</v>
      </c>
      <c r="J256" s="537" t="s">
        <v>686</v>
      </c>
    </row>
    <row r="257" spans="1:10" ht="22.5" x14ac:dyDescent="0.25">
      <c r="A257" s="535"/>
      <c r="B257" s="406" t="s">
        <v>226</v>
      </c>
      <c r="C257" s="535"/>
      <c r="D257" s="537"/>
      <c r="E257" s="537"/>
      <c r="F257" s="535"/>
      <c r="G257" s="535"/>
      <c r="H257" s="537"/>
      <c r="I257" s="537"/>
      <c r="J257" s="537"/>
    </row>
    <row r="258" spans="1:10" ht="43.5" x14ac:dyDescent="0.25">
      <c r="A258" s="535"/>
      <c r="B258" s="406" t="s">
        <v>678</v>
      </c>
      <c r="C258" s="535"/>
      <c r="D258" s="407" t="s">
        <v>687</v>
      </c>
      <c r="E258" s="407" t="s">
        <v>688</v>
      </c>
      <c r="F258" s="535"/>
      <c r="G258" s="535"/>
      <c r="H258" s="407" t="s">
        <v>689</v>
      </c>
      <c r="I258" s="407" t="s">
        <v>690</v>
      </c>
      <c r="J258" s="407" t="s">
        <v>691</v>
      </c>
    </row>
    <row r="259" spans="1:10" x14ac:dyDescent="0.25">
      <c r="A259" s="536"/>
      <c r="B259" s="536"/>
      <c r="C259" s="536"/>
      <c r="D259" s="536"/>
      <c r="E259" s="536"/>
      <c r="F259" s="536"/>
      <c r="G259" s="536"/>
      <c r="H259" s="536"/>
      <c r="I259" s="536"/>
      <c r="J259" s="536"/>
    </row>
    <row r="260" spans="1:10" x14ac:dyDescent="0.25">
      <c r="A260" s="535" t="s">
        <v>268</v>
      </c>
      <c r="B260" s="406" t="s">
        <v>692</v>
      </c>
      <c r="C260" s="535" t="s">
        <v>694</v>
      </c>
      <c r="D260" s="537" t="s">
        <v>695</v>
      </c>
      <c r="E260" s="537" t="s">
        <v>696</v>
      </c>
      <c r="F260" s="535" t="s">
        <v>697</v>
      </c>
      <c r="G260" s="535" t="s">
        <v>698</v>
      </c>
      <c r="H260" s="537" t="s">
        <v>699</v>
      </c>
      <c r="I260" s="538">
        <v>28.8</v>
      </c>
      <c r="J260" s="537" t="s">
        <v>700</v>
      </c>
    </row>
    <row r="261" spans="1:10" ht="22.5" x14ac:dyDescent="0.25">
      <c r="A261" s="535"/>
      <c r="B261" s="406" t="s">
        <v>227</v>
      </c>
      <c r="C261" s="535"/>
      <c r="D261" s="537"/>
      <c r="E261" s="537"/>
      <c r="F261" s="535"/>
      <c r="G261" s="535"/>
      <c r="H261" s="537"/>
      <c r="I261" s="538"/>
      <c r="J261" s="537"/>
    </row>
    <row r="262" spans="1:10" ht="43.5" x14ac:dyDescent="0.25">
      <c r="A262" s="535"/>
      <c r="B262" s="406" t="s">
        <v>693</v>
      </c>
      <c r="C262" s="535"/>
      <c r="D262" s="407" t="s">
        <v>701</v>
      </c>
      <c r="E262" s="407" t="s">
        <v>702</v>
      </c>
      <c r="F262" s="535"/>
      <c r="G262" s="535"/>
      <c r="H262" s="407" t="s">
        <v>703</v>
      </c>
      <c r="I262" s="416">
        <v>8.0500000000000007</v>
      </c>
      <c r="J262" s="420">
        <v>1.6904999999999999</v>
      </c>
    </row>
    <row r="263" spans="1:10" x14ac:dyDescent="0.25">
      <c r="A263" s="406"/>
      <c r="B263" s="543" t="s">
        <v>131</v>
      </c>
      <c r="C263" s="543"/>
      <c r="D263" s="543"/>
      <c r="E263" s="543"/>
      <c r="F263" s="543"/>
      <c r="G263" s="543"/>
      <c r="H263" s="543"/>
      <c r="I263" s="543"/>
      <c r="J263" s="543"/>
    </row>
    <row r="264" spans="1:10" x14ac:dyDescent="0.25">
      <c r="A264" s="536"/>
      <c r="B264" s="536"/>
      <c r="C264" s="536"/>
      <c r="D264" s="536"/>
      <c r="E264" s="536"/>
      <c r="F264" s="536"/>
      <c r="G264" s="536"/>
      <c r="H264" s="536"/>
      <c r="I264" s="536"/>
      <c r="J264" s="536"/>
    </row>
    <row r="265" spans="1:10" x14ac:dyDescent="0.25">
      <c r="A265" s="535" t="s">
        <v>269</v>
      </c>
      <c r="B265" s="406" t="s">
        <v>704</v>
      </c>
      <c r="C265" s="535">
        <v>21</v>
      </c>
      <c r="D265" s="408" t="s">
        <v>986</v>
      </c>
      <c r="E265" s="407"/>
      <c r="F265" s="535" t="s">
        <v>1039</v>
      </c>
      <c r="G265" s="535"/>
      <c r="H265" s="407"/>
      <c r="I265" s="407"/>
      <c r="J265" s="407"/>
    </row>
    <row r="266" spans="1:10" x14ac:dyDescent="0.25">
      <c r="A266" s="535"/>
      <c r="B266" s="406" t="s">
        <v>985</v>
      </c>
      <c r="C266" s="535"/>
      <c r="D266" s="407"/>
      <c r="E266" s="407"/>
      <c r="F266" s="535"/>
      <c r="G266" s="535"/>
      <c r="H266" s="407"/>
      <c r="I266" s="407"/>
      <c r="J266" s="407"/>
    </row>
    <row r="267" spans="1:10" x14ac:dyDescent="0.25">
      <c r="A267" s="536"/>
      <c r="B267" s="536"/>
      <c r="C267" s="536"/>
      <c r="D267" s="536"/>
      <c r="E267" s="536"/>
      <c r="F267" s="536"/>
      <c r="G267" s="536"/>
      <c r="H267" s="536"/>
      <c r="I267" s="536"/>
      <c r="J267" s="536"/>
    </row>
    <row r="268" spans="1:10" x14ac:dyDescent="0.25">
      <c r="A268" s="535" t="s">
        <v>270</v>
      </c>
      <c r="B268" s="406" t="s">
        <v>705</v>
      </c>
      <c r="C268" s="535">
        <v>21</v>
      </c>
      <c r="D268" s="408" t="s">
        <v>707</v>
      </c>
      <c r="E268" s="407"/>
      <c r="F268" s="535" t="s">
        <v>708</v>
      </c>
      <c r="G268" s="535"/>
      <c r="H268" s="407"/>
      <c r="I268" s="407"/>
      <c r="J268" s="407"/>
    </row>
    <row r="269" spans="1:10" ht="22.5" x14ac:dyDescent="0.25">
      <c r="A269" s="535"/>
      <c r="B269" s="406" t="s">
        <v>706</v>
      </c>
      <c r="C269" s="535"/>
      <c r="D269" s="407"/>
      <c r="E269" s="407"/>
      <c r="F269" s="535"/>
      <c r="G269" s="535"/>
      <c r="H269" s="407"/>
      <c r="I269" s="407"/>
      <c r="J269" s="407"/>
    </row>
    <row r="270" spans="1:10" x14ac:dyDescent="0.25">
      <c r="A270" s="536"/>
      <c r="B270" s="536"/>
      <c r="C270" s="536"/>
      <c r="D270" s="536"/>
      <c r="E270" s="536"/>
      <c r="F270" s="536"/>
      <c r="G270" s="536"/>
      <c r="H270" s="536"/>
      <c r="I270" s="536"/>
      <c r="J270" s="536"/>
    </row>
    <row r="271" spans="1:10" ht="31.5" customHeight="1" x14ac:dyDescent="0.25">
      <c r="A271" s="539"/>
      <c r="B271" s="540" t="s">
        <v>153</v>
      </c>
      <c r="C271" s="539"/>
      <c r="D271" s="409"/>
      <c r="E271" s="409"/>
      <c r="F271" s="539" t="s">
        <v>1040</v>
      </c>
      <c r="G271" s="539" t="s">
        <v>709</v>
      </c>
      <c r="H271" s="410" t="s">
        <v>710</v>
      </c>
      <c r="I271" s="409"/>
      <c r="J271" s="410" t="s">
        <v>711</v>
      </c>
    </row>
    <row r="272" spans="1:10" x14ac:dyDescent="0.25">
      <c r="A272" s="539"/>
      <c r="B272" s="540"/>
      <c r="C272" s="539"/>
      <c r="D272" s="409"/>
      <c r="E272" s="409"/>
      <c r="F272" s="539"/>
      <c r="G272" s="539"/>
      <c r="H272" s="409" t="s">
        <v>712</v>
      </c>
      <c r="I272" s="409"/>
      <c r="J272" s="409" t="s">
        <v>713</v>
      </c>
    </row>
    <row r="273" spans="1:10" ht="37.5" customHeight="1" x14ac:dyDescent="0.25">
      <c r="A273" s="539"/>
      <c r="B273" s="540" t="s">
        <v>146</v>
      </c>
      <c r="C273" s="539"/>
      <c r="D273" s="409"/>
      <c r="E273" s="409"/>
      <c r="F273" s="539" t="s">
        <v>697</v>
      </c>
      <c r="G273" s="539" t="s">
        <v>698</v>
      </c>
      <c r="H273" s="410" t="s">
        <v>699</v>
      </c>
      <c r="I273" s="409"/>
      <c r="J273" s="410" t="s">
        <v>700</v>
      </c>
    </row>
    <row r="274" spans="1:10" x14ac:dyDescent="0.25">
      <c r="A274" s="539"/>
      <c r="B274" s="540"/>
      <c r="C274" s="539"/>
      <c r="D274" s="409"/>
      <c r="E274" s="409"/>
      <c r="F274" s="539"/>
      <c r="G274" s="539"/>
      <c r="H274" s="409" t="s">
        <v>703</v>
      </c>
      <c r="I274" s="409"/>
      <c r="J274" s="419">
        <v>1.6904999999999999</v>
      </c>
    </row>
    <row r="275" spans="1:10" ht="22.5" x14ac:dyDescent="0.25">
      <c r="A275" s="409"/>
      <c r="B275" s="411" t="s">
        <v>714</v>
      </c>
      <c r="C275" s="409"/>
      <c r="D275" s="409"/>
      <c r="E275" s="409"/>
      <c r="F275" s="409" t="s">
        <v>715</v>
      </c>
      <c r="G275" s="409"/>
      <c r="H275" s="409"/>
      <c r="I275" s="409"/>
      <c r="J275" s="409"/>
    </row>
    <row r="276" spans="1:10" ht="22.5" x14ac:dyDescent="0.25">
      <c r="A276" s="409"/>
      <c r="B276" s="411" t="s">
        <v>716</v>
      </c>
      <c r="C276" s="409"/>
      <c r="D276" s="409"/>
      <c r="E276" s="409"/>
      <c r="F276" s="409" t="s">
        <v>717</v>
      </c>
      <c r="G276" s="409"/>
      <c r="H276" s="409"/>
      <c r="I276" s="409"/>
      <c r="J276" s="409"/>
    </row>
    <row r="277" spans="1:10" ht="22.5" x14ac:dyDescent="0.25">
      <c r="A277" s="409"/>
      <c r="B277" s="411" t="s">
        <v>147</v>
      </c>
      <c r="C277" s="409"/>
      <c r="D277" s="409"/>
      <c r="E277" s="409"/>
      <c r="F277" s="425">
        <v>7026.59</v>
      </c>
      <c r="G277" s="409"/>
      <c r="H277" s="409"/>
      <c r="I277" s="409"/>
      <c r="J277" s="409"/>
    </row>
    <row r="278" spans="1:10" ht="42" customHeight="1" x14ac:dyDescent="0.25">
      <c r="A278" s="539"/>
      <c r="B278" s="540" t="s">
        <v>112</v>
      </c>
      <c r="C278" s="539"/>
      <c r="D278" s="409"/>
      <c r="E278" s="409"/>
      <c r="F278" s="539" t="s">
        <v>1041</v>
      </c>
      <c r="G278" s="539" t="s">
        <v>718</v>
      </c>
      <c r="H278" s="410" t="s">
        <v>719</v>
      </c>
      <c r="I278" s="409"/>
      <c r="J278" s="410" t="s">
        <v>720</v>
      </c>
    </row>
    <row r="279" spans="1:10" x14ac:dyDescent="0.25">
      <c r="A279" s="539"/>
      <c r="B279" s="540"/>
      <c r="C279" s="539"/>
      <c r="D279" s="409"/>
      <c r="E279" s="409"/>
      <c r="F279" s="539"/>
      <c r="G279" s="539"/>
      <c r="H279" s="409" t="s">
        <v>721</v>
      </c>
      <c r="I279" s="409"/>
      <c r="J279" s="409" t="s">
        <v>722</v>
      </c>
    </row>
    <row r="280" spans="1:10" ht="43.5" x14ac:dyDescent="0.25">
      <c r="A280" s="409"/>
      <c r="B280" s="411" t="s">
        <v>723</v>
      </c>
      <c r="C280" s="409"/>
      <c r="D280" s="409"/>
      <c r="E280" s="409"/>
      <c r="F280" s="409" t="s">
        <v>724</v>
      </c>
      <c r="G280" s="409"/>
      <c r="H280" s="409"/>
      <c r="I280" s="409"/>
      <c r="J280" s="409"/>
    </row>
    <row r="281" spans="1:10" ht="43.5" x14ac:dyDescent="0.25">
      <c r="A281" s="409"/>
      <c r="B281" s="411" t="s">
        <v>725</v>
      </c>
      <c r="C281" s="409"/>
      <c r="D281" s="409"/>
      <c r="E281" s="409"/>
      <c r="F281" s="409" t="s">
        <v>726</v>
      </c>
      <c r="G281" s="409"/>
      <c r="H281" s="409"/>
      <c r="I281" s="409"/>
      <c r="J281" s="409"/>
    </row>
    <row r="282" spans="1:10" ht="33" x14ac:dyDescent="0.25">
      <c r="A282" s="409"/>
      <c r="B282" s="411" t="s">
        <v>113</v>
      </c>
      <c r="C282" s="409"/>
      <c r="D282" s="409"/>
      <c r="E282" s="409"/>
      <c r="F282" s="425">
        <v>168653.19</v>
      </c>
      <c r="G282" s="409"/>
      <c r="H282" s="409"/>
      <c r="I282" s="409"/>
      <c r="J282" s="409"/>
    </row>
    <row r="283" spans="1:10" x14ac:dyDescent="0.25">
      <c r="A283" s="409"/>
      <c r="B283" s="411" t="s">
        <v>156</v>
      </c>
      <c r="C283" s="409"/>
      <c r="D283" s="409"/>
      <c r="E283" s="409"/>
      <c r="F283" s="409" t="s">
        <v>1042</v>
      </c>
      <c r="G283" s="409"/>
      <c r="H283" s="409"/>
      <c r="I283" s="409"/>
      <c r="J283" s="409"/>
    </row>
    <row r="284" spans="1:10" x14ac:dyDescent="0.25">
      <c r="A284" s="409"/>
      <c r="B284" s="411" t="s">
        <v>240</v>
      </c>
      <c r="C284" s="409"/>
      <c r="D284" s="409"/>
      <c r="E284" s="409"/>
      <c r="F284" s="409"/>
      <c r="G284" s="409"/>
      <c r="H284" s="409"/>
      <c r="I284" s="409"/>
      <c r="J284" s="409"/>
    </row>
    <row r="285" spans="1:10" x14ac:dyDescent="0.25">
      <c r="A285" s="409"/>
      <c r="B285" s="411" t="s">
        <v>241</v>
      </c>
      <c r="C285" s="409"/>
      <c r="D285" s="409"/>
      <c r="E285" s="409"/>
      <c r="F285" s="409" t="s">
        <v>1043</v>
      </c>
      <c r="G285" s="409"/>
      <c r="H285" s="409"/>
      <c r="I285" s="409"/>
      <c r="J285" s="409"/>
    </row>
    <row r="286" spans="1:10" x14ac:dyDescent="0.25">
      <c r="A286" s="409"/>
      <c r="B286" s="411" t="s">
        <v>242</v>
      </c>
      <c r="C286" s="409"/>
      <c r="D286" s="409"/>
      <c r="E286" s="409"/>
      <c r="F286" s="409" t="s">
        <v>709</v>
      </c>
      <c r="G286" s="409"/>
      <c r="H286" s="409"/>
      <c r="I286" s="409"/>
      <c r="J286" s="409"/>
    </row>
    <row r="287" spans="1:10" x14ac:dyDescent="0.25">
      <c r="A287" s="409"/>
      <c r="B287" s="411" t="s">
        <v>243</v>
      </c>
      <c r="C287" s="409"/>
      <c r="D287" s="409"/>
      <c r="E287" s="409"/>
      <c r="F287" s="409" t="s">
        <v>710</v>
      </c>
      <c r="G287" s="409"/>
      <c r="H287" s="409"/>
      <c r="I287" s="409"/>
      <c r="J287" s="409"/>
    </row>
    <row r="288" spans="1:10" ht="22.5" x14ac:dyDescent="0.25">
      <c r="A288" s="409"/>
      <c r="B288" s="411" t="s">
        <v>244</v>
      </c>
      <c r="C288" s="409"/>
      <c r="D288" s="409"/>
      <c r="E288" s="409"/>
      <c r="F288" s="409" t="s">
        <v>712</v>
      </c>
      <c r="G288" s="409"/>
      <c r="H288" s="409"/>
      <c r="I288" s="409"/>
      <c r="J288" s="409"/>
    </row>
    <row r="289" spans="1:10" x14ac:dyDescent="0.25">
      <c r="A289" s="409"/>
      <c r="B289" s="411" t="s">
        <v>245</v>
      </c>
      <c r="C289" s="409"/>
      <c r="D289" s="409"/>
      <c r="E289" s="409"/>
      <c r="F289" s="409" t="s">
        <v>727</v>
      </c>
      <c r="G289" s="409"/>
      <c r="H289" s="409"/>
      <c r="I289" s="409"/>
      <c r="J289" s="409"/>
    </row>
    <row r="290" spans="1:10" x14ac:dyDescent="0.25">
      <c r="A290" s="409"/>
      <c r="B290" s="411" t="s">
        <v>246</v>
      </c>
      <c r="C290" s="409"/>
      <c r="D290" s="409"/>
      <c r="E290" s="409"/>
      <c r="F290" s="409" t="s">
        <v>728</v>
      </c>
      <c r="G290" s="409"/>
      <c r="H290" s="409"/>
      <c r="I290" s="409"/>
      <c r="J290" s="409"/>
    </row>
    <row r="291" spans="1:10" x14ac:dyDescent="0.25">
      <c r="A291" s="409"/>
      <c r="B291" s="411" t="s">
        <v>247</v>
      </c>
      <c r="C291" s="409">
        <v>20</v>
      </c>
      <c r="D291" s="409"/>
      <c r="E291" s="409"/>
      <c r="F291" s="409" t="s">
        <v>1044</v>
      </c>
      <c r="G291" s="409"/>
      <c r="H291" s="409"/>
      <c r="I291" s="409"/>
      <c r="J291" s="409"/>
    </row>
    <row r="292" spans="1:10" ht="22.5" x14ac:dyDescent="0.25">
      <c r="A292" s="409"/>
      <c r="B292" s="411" t="s">
        <v>280</v>
      </c>
      <c r="C292" s="409"/>
      <c r="D292" s="409"/>
      <c r="E292" s="409"/>
      <c r="F292" s="409" t="s">
        <v>1045</v>
      </c>
      <c r="G292" s="409"/>
      <c r="H292" s="409"/>
      <c r="I292" s="409"/>
      <c r="J292" s="409"/>
    </row>
    <row r="293" spans="1:10" x14ac:dyDescent="0.25">
      <c r="A293" s="536"/>
      <c r="B293" s="536"/>
      <c r="C293" s="536"/>
      <c r="D293" s="536"/>
      <c r="E293" s="536"/>
      <c r="F293" s="536"/>
      <c r="G293" s="536"/>
      <c r="H293" s="536"/>
      <c r="I293" s="536"/>
      <c r="J293" s="536"/>
    </row>
    <row r="294" spans="1:10" x14ac:dyDescent="0.25">
      <c r="A294" s="406"/>
      <c r="B294" s="541" t="s">
        <v>729</v>
      </c>
      <c r="C294" s="541"/>
      <c r="D294" s="541"/>
      <c r="E294" s="541"/>
      <c r="F294" s="541"/>
      <c r="G294" s="541"/>
      <c r="H294" s="541"/>
      <c r="I294" s="541"/>
      <c r="J294" s="541"/>
    </row>
    <row r="295" spans="1:10" x14ac:dyDescent="0.25">
      <c r="A295" s="536"/>
      <c r="B295" s="536"/>
      <c r="C295" s="536"/>
      <c r="D295" s="536"/>
      <c r="E295" s="536"/>
      <c r="F295" s="536"/>
      <c r="G295" s="536"/>
      <c r="H295" s="536"/>
      <c r="I295" s="536"/>
      <c r="J295" s="536"/>
    </row>
    <row r="296" spans="1:10" x14ac:dyDescent="0.25">
      <c r="A296" s="535" t="s">
        <v>271</v>
      </c>
      <c r="B296" s="406" t="s">
        <v>730</v>
      </c>
      <c r="C296" s="535" t="s">
        <v>933</v>
      </c>
      <c r="D296" s="537" t="s">
        <v>732</v>
      </c>
      <c r="E296" s="535"/>
      <c r="F296" s="535" t="s">
        <v>934</v>
      </c>
      <c r="G296" s="535" t="s">
        <v>934</v>
      </c>
      <c r="H296" s="535"/>
      <c r="I296" s="537">
        <v>154</v>
      </c>
      <c r="J296" s="537" t="s">
        <v>935</v>
      </c>
    </row>
    <row r="297" spans="1:10" ht="22.5" x14ac:dyDescent="0.25">
      <c r="A297" s="535"/>
      <c r="B297" s="406" t="s">
        <v>226</v>
      </c>
      <c r="C297" s="535"/>
      <c r="D297" s="537"/>
      <c r="E297" s="535"/>
      <c r="F297" s="535"/>
      <c r="G297" s="535"/>
      <c r="H297" s="535"/>
      <c r="I297" s="537"/>
      <c r="J297" s="537"/>
    </row>
    <row r="298" spans="1:10" ht="43.5" x14ac:dyDescent="0.25">
      <c r="A298" s="535"/>
      <c r="B298" s="406" t="s">
        <v>731</v>
      </c>
      <c r="C298" s="535"/>
      <c r="D298" s="407" t="s">
        <v>732</v>
      </c>
      <c r="E298" s="407"/>
      <c r="F298" s="535"/>
      <c r="G298" s="535"/>
      <c r="H298" s="407"/>
      <c r="I298" s="407"/>
      <c r="J298" s="407"/>
    </row>
    <row r="299" spans="1:10" x14ac:dyDescent="0.25">
      <c r="A299" s="536"/>
      <c r="B299" s="536"/>
      <c r="C299" s="536"/>
      <c r="D299" s="536"/>
      <c r="E299" s="536"/>
      <c r="F299" s="536"/>
      <c r="G299" s="536"/>
      <c r="H299" s="536"/>
      <c r="I299" s="536"/>
      <c r="J299" s="536"/>
    </row>
    <row r="300" spans="1:10" x14ac:dyDescent="0.25">
      <c r="A300" s="535" t="s">
        <v>272</v>
      </c>
      <c r="B300" s="406" t="s">
        <v>733</v>
      </c>
      <c r="C300" s="544">
        <v>7.1</v>
      </c>
      <c r="D300" s="537" t="s">
        <v>735</v>
      </c>
      <c r="E300" s="537" t="s">
        <v>736</v>
      </c>
      <c r="F300" s="535" t="s">
        <v>936</v>
      </c>
      <c r="G300" s="535" t="s">
        <v>937</v>
      </c>
      <c r="H300" s="537" t="s">
        <v>938</v>
      </c>
      <c r="I300" s="538">
        <v>6.63</v>
      </c>
      <c r="J300" s="537" t="s">
        <v>939</v>
      </c>
    </row>
    <row r="301" spans="1:10" ht="22.5" x14ac:dyDescent="0.25">
      <c r="A301" s="535"/>
      <c r="B301" s="406" t="s">
        <v>227</v>
      </c>
      <c r="C301" s="544"/>
      <c r="D301" s="537"/>
      <c r="E301" s="537"/>
      <c r="F301" s="535"/>
      <c r="G301" s="535"/>
      <c r="H301" s="537"/>
      <c r="I301" s="538"/>
      <c r="J301" s="537"/>
    </row>
    <row r="302" spans="1:10" ht="33" x14ac:dyDescent="0.25">
      <c r="A302" s="535"/>
      <c r="B302" s="406" t="s">
        <v>734</v>
      </c>
      <c r="C302" s="544"/>
      <c r="D302" s="407" t="s">
        <v>737</v>
      </c>
      <c r="E302" s="407" t="s">
        <v>738</v>
      </c>
      <c r="F302" s="535"/>
      <c r="G302" s="535"/>
      <c r="H302" s="407" t="s">
        <v>940</v>
      </c>
      <c r="I302" s="416">
        <v>4.99</v>
      </c>
      <c r="J302" s="407" t="s">
        <v>941</v>
      </c>
    </row>
    <row r="303" spans="1:10" x14ac:dyDescent="0.25">
      <c r="A303" s="406"/>
      <c r="B303" s="543" t="s">
        <v>131</v>
      </c>
      <c r="C303" s="543"/>
      <c r="D303" s="543"/>
      <c r="E303" s="543"/>
      <c r="F303" s="543"/>
      <c r="G303" s="543"/>
      <c r="H303" s="543"/>
      <c r="I303" s="543"/>
      <c r="J303" s="543"/>
    </row>
    <row r="304" spans="1:10" x14ac:dyDescent="0.25">
      <c r="A304" s="536"/>
      <c r="B304" s="536"/>
      <c r="C304" s="536"/>
      <c r="D304" s="536"/>
      <c r="E304" s="536"/>
      <c r="F304" s="536"/>
      <c r="G304" s="536"/>
      <c r="H304" s="536"/>
      <c r="I304" s="536"/>
      <c r="J304" s="536"/>
    </row>
    <row r="305" spans="1:10" x14ac:dyDescent="0.25">
      <c r="A305" s="535" t="s">
        <v>273</v>
      </c>
      <c r="B305" s="406" t="s">
        <v>739</v>
      </c>
      <c r="C305" s="544">
        <v>5.56</v>
      </c>
      <c r="D305" s="537" t="s">
        <v>741</v>
      </c>
      <c r="E305" s="537" t="s">
        <v>742</v>
      </c>
      <c r="F305" s="535" t="s">
        <v>942</v>
      </c>
      <c r="G305" s="535" t="s">
        <v>943</v>
      </c>
      <c r="H305" s="537" t="s">
        <v>944</v>
      </c>
      <c r="I305" s="538">
        <v>21.8</v>
      </c>
      <c r="J305" s="537" t="s">
        <v>945</v>
      </c>
    </row>
    <row r="306" spans="1:10" ht="22.5" x14ac:dyDescent="0.25">
      <c r="A306" s="535"/>
      <c r="B306" s="406" t="s">
        <v>227</v>
      </c>
      <c r="C306" s="544"/>
      <c r="D306" s="537"/>
      <c r="E306" s="537"/>
      <c r="F306" s="535"/>
      <c r="G306" s="535"/>
      <c r="H306" s="537"/>
      <c r="I306" s="538"/>
      <c r="J306" s="537"/>
    </row>
    <row r="307" spans="1:10" ht="33" x14ac:dyDescent="0.25">
      <c r="A307" s="535"/>
      <c r="B307" s="406" t="s">
        <v>740</v>
      </c>
      <c r="C307" s="544"/>
      <c r="D307" s="407" t="s">
        <v>743</v>
      </c>
      <c r="E307" s="407" t="s">
        <v>744</v>
      </c>
      <c r="F307" s="535"/>
      <c r="G307" s="535"/>
      <c r="H307" s="407" t="s">
        <v>946</v>
      </c>
      <c r="I307" s="416">
        <v>6.61</v>
      </c>
      <c r="J307" s="407" t="s">
        <v>947</v>
      </c>
    </row>
    <row r="308" spans="1:10" x14ac:dyDescent="0.25">
      <c r="A308" s="406"/>
      <c r="B308" s="543" t="s">
        <v>131</v>
      </c>
      <c r="C308" s="543"/>
      <c r="D308" s="543"/>
      <c r="E308" s="543"/>
      <c r="F308" s="543"/>
      <c r="G308" s="543"/>
      <c r="H308" s="543"/>
      <c r="I308" s="543"/>
      <c r="J308" s="543"/>
    </row>
    <row r="309" spans="1:10" x14ac:dyDescent="0.25">
      <c r="A309" s="536"/>
      <c r="B309" s="536"/>
      <c r="C309" s="536"/>
      <c r="D309" s="536"/>
      <c r="E309" s="536"/>
      <c r="F309" s="536"/>
      <c r="G309" s="536"/>
      <c r="H309" s="536"/>
      <c r="I309" s="536"/>
      <c r="J309" s="536"/>
    </row>
    <row r="310" spans="1:10" x14ac:dyDescent="0.25">
      <c r="A310" s="535" t="s">
        <v>274</v>
      </c>
      <c r="B310" s="406" t="s">
        <v>692</v>
      </c>
      <c r="C310" s="544">
        <v>1.54</v>
      </c>
      <c r="D310" s="537" t="s">
        <v>695</v>
      </c>
      <c r="E310" s="537" t="s">
        <v>696</v>
      </c>
      <c r="F310" s="535" t="s">
        <v>948</v>
      </c>
      <c r="G310" s="535" t="s">
        <v>949</v>
      </c>
      <c r="H310" s="537" t="s">
        <v>950</v>
      </c>
      <c r="I310" s="538">
        <v>28.8</v>
      </c>
      <c r="J310" s="537" t="s">
        <v>951</v>
      </c>
    </row>
    <row r="311" spans="1:10" ht="22.5" x14ac:dyDescent="0.25">
      <c r="A311" s="535"/>
      <c r="B311" s="406" t="s">
        <v>227</v>
      </c>
      <c r="C311" s="544"/>
      <c r="D311" s="537"/>
      <c r="E311" s="537"/>
      <c r="F311" s="535"/>
      <c r="G311" s="535"/>
      <c r="H311" s="537"/>
      <c r="I311" s="538"/>
      <c r="J311" s="537"/>
    </row>
    <row r="312" spans="1:10" ht="43.5" x14ac:dyDescent="0.25">
      <c r="A312" s="535"/>
      <c r="B312" s="406" t="s">
        <v>693</v>
      </c>
      <c r="C312" s="544"/>
      <c r="D312" s="407" t="s">
        <v>701</v>
      </c>
      <c r="E312" s="407" t="s">
        <v>702</v>
      </c>
      <c r="F312" s="535"/>
      <c r="G312" s="535"/>
      <c r="H312" s="407" t="s">
        <v>952</v>
      </c>
      <c r="I312" s="416">
        <v>8.0500000000000007</v>
      </c>
      <c r="J312" s="407" t="s">
        <v>953</v>
      </c>
    </row>
    <row r="313" spans="1:10" x14ac:dyDescent="0.25">
      <c r="A313" s="406"/>
      <c r="B313" s="543" t="s">
        <v>131</v>
      </c>
      <c r="C313" s="543"/>
      <c r="D313" s="543"/>
      <c r="E313" s="543"/>
      <c r="F313" s="543"/>
      <c r="G313" s="543"/>
      <c r="H313" s="543"/>
      <c r="I313" s="543"/>
      <c r="J313" s="543"/>
    </row>
    <row r="314" spans="1:10" x14ac:dyDescent="0.25">
      <c r="A314" s="536"/>
      <c r="B314" s="536"/>
      <c r="C314" s="536"/>
      <c r="D314" s="536"/>
      <c r="E314" s="536"/>
      <c r="F314" s="536"/>
      <c r="G314" s="536"/>
      <c r="H314" s="536"/>
      <c r="I314" s="536"/>
      <c r="J314" s="536"/>
    </row>
    <row r="315" spans="1:10" x14ac:dyDescent="0.25">
      <c r="A315" s="535" t="s">
        <v>275</v>
      </c>
      <c r="B315" s="406" t="s">
        <v>745</v>
      </c>
      <c r="C315" s="535" t="s">
        <v>954</v>
      </c>
      <c r="D315" s="537" t="s">
        <v>747</v>
      </c>
      <c r="E315" s="537" t="s">
        <v>748</v>
      </c>
      <c r="F315" s="535" t="s">
        <v>955</v>
      </c>
      <c r="G315" s="535" t="s">
        <v>956</v>
      </c>
      <c r="H315" s="537" t="s">
        <v>957</v>
      </c>
      <c r="I315" s="537" t="s">
        <v>749</v>
      </c>
      <c r="J315" s="537" t="s">
        <v>958</v>
      </c>
    </row>
    <row r="316" spans="1:10" ht="22.5" x14ac:dyDescent="0.25">
      <c r="A316" s="535"/>
      <c r="B316" s="406" t="s">
        <v>226</v>
      </c>
      <c r="C316" s="535"/>
      <c r="D316" s="537"/>
      <c r="E316" s="537"/>
      <c r="F316" s="535"/>
      <c r="G316" s="535"/>
      <c r="H316" s="537"/>
      <c r="I316" s="537"/>
      <c r="J316" s="537"/>
    </row>
    <row r="317" spans="1:10" ht="43.5" x14ac:dyDescent="0.25">
      <c r="A317" s="535"/>
      <c r="B317" s="406" t="s">
        <v>746</v>
      </c>
      <c r="C317" s="535"/>
      <c r="D317" s="407" t="s">
        <v>750</v>
      </c>
      <c r="E317" s="407" t="s">
        <v>751</v>
      </c>
      <c r="F317" s="535"/>
      <c r="G317" s="535"/>
      <c r="H317" s="407" t="s">
        <v>959</v>
      </c>
      <c r="I317" s="407" t="s">
        <v>752</v>
      </c>
      <c r="J317" s="407" t="s">
        <v>960</v>
      </c>
    </row>
    <row r="318" spans="1:10" x14ac:dyDescent="0.25">
      <c r="A318" s="536"/>
      <c r="B318" s="536"/>
      <c r="C318" s="536"/>
      <c r="D318" s="536"/>
      <c r="E318" s="536"/>
      <c r="F318" s="536"/>
      <c r="G318" s="536"/>
      <c r="H318" s="536"/>
      <c r="I318" s="536"/>
      <c r="J318" s="536"/>
    </row>
    <row r="319" spans="1:10" x14ac:dyDescent="0.25">
      <c r="A319" s="535" t="s">
        <v>276</v>
      </c>
      <c r="B319" s="406" t="s">
        <v>753</v>
      </c>
      <c r="C319" s="535">
        <v>8</v>
      </c>
      <c r="D319" s="537" t="s">
        <v>755</v>
      </c>
      <c r="E319" s="537" t="s">
        <v>756</v>
      </c>
      <c r="F319" s="535" t="s">
        <v>961</v>
      </c>
      <c r="G319" s="535" t="s">
        <v>962</v>
      </c>
      <c r="H319" s="537" t="s">
        <v>963</v>
      </c>
      <c r="I319" s="538">
        <v>6.65</v>
      </c>
      <c r="J319" s="537" t="s">
        <v>964</v>
      </c>
    </row>
    <row r="320" spans="1:10" ht="22.5" x14ac:dyDescent="0.25">
      <c r="A320" s="535"/>
      <c r="B320" s="406" t="s">
        <v>227</v>
      </c>
      <c r="C320" s="535"/>
      <c r="D320" s="537"/>
      <c r="E320" s="537"/>
      <c r="F320" s="535"/>
      <c r="G320" s="535"/>
      <c r="H320" s="537"/>
      <c r="I320" s="538"/>
      <c r="J320" s="537"/>
    </row>
    <row r="321" spans="1:13" ht="54" x14ac:dyDescent="0.25">
      <c r="A321" s="535"/>
      <c r="B321" s="406" t="s">
        <v>754</v>
      </c>
      <c r="C321" s="535"/>
      <c r="D321" s="407" t="s">
        <v>757</v>
      </c>
      <c r="E321" s="407" t="s">
        <v>758</v>
      </c>
      <c r="F321" s="535"/>
      <c r="G321" s="535"/>
      <c r="H321" s="407" t="s">
        <v>965</v>
      </c>
      <c r="I321" s="416">
        <v>5.25</v>
      </c>
      <c r="J321" s="407">
        <v>42</v>
      </c>
    </row>
    <row r="322" spans="1:13" x14ac:dyDescent="0.25">
      <c r="A322" s="406"/>
      <c r="B322" s="543" t="s">
        <v>131</v>
      </c>
      <c r="C322" s="543"/>
      <c r="D322" s="543"/>
      <c r="E322" s="543"/>
      <c r="F322" s="543"/>
      <c r="G322" s="543"/>
      <c r="H322" s="543"/>
      <c r="I322" s="543"/>
      <c r="J322" s="543"/>
    </row>
    <row r="323" spans="1:13" x14ac:dyDescent="0.25">
      <c r="A323" s="536"/>
      <c r="B323" s="536"/>
      <c r="C323" s="536"/>
      <c r="D323" s="536"/>
      <c r="E323" s="536"/>
      <c r="F323" s="536"/>
      <c r="G323" s="536"/>
      <c r="H323" s="536"/>
      <c r="I323" s="536"/>
      <c r="J323" s="536"/>
    </row>
    <row r="324" spans="1:13" x14ac:dyDescent="0.25">
      <c r="A324" s="535" t="s">
        <v>279</v>
      </c>
      <c r="B324" s="406" t="s">
        <v>759</v>
      </c>
      <c r="C324" s="535" t="s">
        <v>933</v>
      </c>
      <c r="D324" s="537" t="s">
        <v>761</v>
      </c>
      <c r="E324" s="535"/>
      <c r="F324" s="535" t="s">
        <v>966</v>
      </c>
      <c r="G324" s="535" t="s">
        <v>966</v>
      </c>
      <c r="H324" s="535"/>
      <c r="I324" s="537" t="s">
        <v>762</v>
      </c>
      <c r="J324" s="537" t="s">
        <v>967</v>
      </c>
    </row>
    <row r="325" spans="1:13" ht="22.5" x14ac:dyDescent="0.25">
      <c r="A325" s="535"/>
      <c r="B325" s="406" t="s">
        <v>226</v>
      </c>
      <c r="C325" s="535"/>
      <c r="D325" s="537"/>
      <c r="E325" s="535"/>
      <c r="F325" s="535"/>
      <c r="G325" s="535"/>
      <c r="H325" s="535"/>
      <c r="I325" s="537"/>
      <c r="J325" s="537"/>
    </row>
    <row r="326" spans="1:13" ht="43.5" x14ac:dyDescent="0.25">
      <c r="A326" s="535"/>
      <c r="B326" s="406" t="s">
        <v>760</v>
      </c>
      <c r="C326" s="535"/>
      <c r="D326" s="407" t="s">
        <v>761</v>
      </c>
      <c r="E326" s="407"/>
      <c r="F326" s="535"/>
      <c r="G326" s="535"/>
      <c r="H326" s="407"/>
      <c r="I326" s="407"/>
      <c r="J326" s="407"/>
    </row>
    <row r="327" spans="1:13" x14ac:dyDescent="0.25">
      <c r="A327" s="536"/>
      <c r="B327" s="536"/>
      <c r="C327" s="536"/>
      <c r="D327" s="536"/>
      <c r="E327" s="536"/>
      <c r="F327" s="536"/>
      <c r="G327" s="536"/>
      <c r="H327" s="536"/>
      <c r="I327" s="536"/>
      <c r="J327" s="536"/>
    </row>
    <row r="328" spans="1:13" ht="31.5" customHeight="1" x14ac:dyDescent="0.25">
      <c r="A328" s="539"/>
      <c r="B328" s="540" t="s">
        <v>185</v>
      </c>
      <c r="C328" s="539"/>
      <c r="D328" s="409"/>
      <c r="E328" s="409"/>
      <c r="F328" s="539" t="s">
        <v>1069</v>
      </c>
      <c r="G328" s="539" t="s">
        <v>1070</v>
      </c>
      <c r="H328" s="410" t="s">
        <v>968</v>
      </c>
      <c r="I328" s="409"/>
      <c r="J328" s="410" t="s">
        <v>1071</v>
      </c>
    </row>
    <row r="329" spans="1:13" x14ac:dyDescent="0.25">
      <c r="A329" s="539"/>
      <c r="B329" s="540"/>
      <c r="C329" s="539"/>
      <c r="D329" s="409"/>
      <c r="E329" s="409"/>
      <c r="F329" s="539"/>
      <c r="G329" s="539"/>
      <c r="H329" s="409" t="s">
        <v>969</v>
      </c>
      <c r="I329" s="409"/>
      <c r="J329" s="409" t="s">
        <v>970</v>
      </c>
    </row>
    <row r="330" spans="1:13" ht="31.5" customHeight="1" x14ac:dyDescent="0.25">
      <c r="A330" s="539"/>
      <c r="B330" s="540" t="s">
        <v>146</v>
      </c>
      <c r="C330" s="539"/>
      <c r="D330" s="409"/>
      <c r="E330" s="409"/>
      <c r="F330" s="539" t="s">
        <v>971</v>
      </c>
      <c r="G330" s="539" t="s">
        <v>972</v>
      </c>
      <c r="H330" s="410" t="s">
        <v>973</v>
      </c>
      <c r="I330" s="409"/>
      <c r="J330" s="410" t="s">
        <v>974</v>
      </c>
    </row>
    <row r="331" spans="1:13" x14ac:dyDescent="0.25">
      <c r="A331" s="539"/>
      <c r="B331" s="540"/>
      <c r="C331" s="539"/>
      <c r="D331" s="409"/>
      <c r="E331" s="409"/>
      <c r="F331" s="539"/>
      <c r="G331" s="539"/>
      <c r="H331" s="409" t="s">
        <v>975</v>
      </c>
      <c r="I331" s="409"/>
      <c r="J331" s="409" t="s">
        <v>976</v>
      </c>
    </row>
    <row r="332" spans="1:13" ht="33" x14ac:dyDescent="0.25">
      <c r="A332" s="409"/>
      <c r="B332" s="411" t="s">
        <v>763</v>
      </c>
      <c r="C332" s="409"/>
      <c r="D332" s="409"/>
      <c r="E332" s="409"/>
      <c r="F332" s="409" t="s">
        <v>977</v>
      </c>
      <c r="G332" s="409"/>
      <c r="H332" s="409"/>
      <c r="I332" s="409"/>
      <c r="J332" s="409"/>
    </row>
    <row r="333" spans="1:13" ht="22.5" x14ac:dyDescent="0.25">
      <c r="A333" s="409"/>
      <c r="B333" s="411" t="s">
        <v>764</v>
      </c>
      <c r="C333" s="409"/>
      <c r="D333" s="409"/>
      <c r="E333" s="409"/>
      <c r="F333" s="409" t="s">
        <v>978</v>
      </c>
      <c r="G333" s="409"/>
      <c r="H333" s="409"/>
      <c r="I333" s="409"/>
      <c r="J333" s="409"/>
    </row>
    <row r="334" spans="1:13" ht="22.5" x14ac:dyDescent="0.25">
      <c r="A334" s="409"/>
      <c r="B334" s="411" t="s">
        <v>147</v>
      </c>
      <c r="C334" s="409"/>
      <c r="D334" s="409"/>
      <c r="E334" s="409"/>
      <c r="F334" s="425">
        <v>446402.9</v>
      </c>
      <c r="G334" s="409"/>
      <c r="H334" s="409"/>
      <c r="I334" s="409"/>
      <c r="J334" s="409"/>
      <c r="M334" s="393">
        <f>F334+F277+F377</f>
        <v>1087247.24</v>
      </c>
    </row>
    <row r="335" spans="1:13" ht="48" customHeight="1" x14ac:dyDescent="0.25">
      <c r="A335" s="539"/>
      <c r="B335" s="540" t="s">
        <v>112</v>
      </c>
      <c r="C335" s="539"/>
      <c r="D335" s="409"/>
      <c r="E335" s="409"/>
      <c r="F335" s="539" t="s">
        <v>979</v>
      </c>
      <c r="G335" s="539" t="s">
        <v>980</v>
      </c>
      <c r="H335" s="410" t="s">
        <v>957</v>
      </c>
      <c r="I335" s="409"/>
      <c r="J335" s="410" t="s">
        <v>981</v>
      </c>
    </row>
    <row r="336" spans="1:13" x14ac:dyDescent="0.25">
      <c r="A336" s="539"/>
      <c r="B336" s="540"/>
      <c r="C336" s="539"/>
      <c r="D336" s="409"/>
      <c r="E336" s="409"/>
      <c r="F336" s="539"/>
      <c r="G336" s="539"/>
      <c r="H336" s="409" t="s">
        <v>959</v>
      </c>
      <c r="I336" s="409"/>
      <c r="J336" s="409" t="s">
        <v>960</v>
      </c>
    </row>
    <row r="337" spans="1:13" ht="33" x14ac:dyDescent="0.25">
      <c r="A337" s="409"/>
      <c r="B337" s="411" t="s">
        <v>765</v>
      </c>
      <c r="C337" s="409"/>
      <c r="D337" s="409"/>
      <c r="E337" s="409"/>
      <c r="F337" s="409" t="s">
        <v>982</v>
      </c>
      <c r="G337" s="409"/>
      <c r="H337" s="409"/>
      <c r="I337" s="409"/>
      <c r="J337" s="409"/>
    </row>
    <row r="338" spans="1:13" ht="33" x14ac:dyDescent="0.25">
      <c r="A338" s="409"/>
      <c r="B338" s="411" t="s">
        <v>766</v>
      </c>
      <c r="C338" s="409"/>
      <c r="D338" s="409"/>
      <c r="E338" s="409"/>
      <c r="F338" s="409" t="s">
        <v>983</v>
      </c>
      <c r="G338" s="409"/>
      <c r="H338" s="409"/>
      <c r="I338" s="409"/>
      <c r="J338" s="409"/>
    </row>
    <row r="339" spans="1:13" ht="33" x14ac:dyDescent="0.25">
      <c r="A339" s="409"/>
      <c r="B339" s="411" t="s">
        <v>113</v>
      </c>
      <c r="C339" s="409"/>
      <c r="D339" s="409"/>
      <c r="E339" s="409"/>
      <c r="F339" s="425">
        <v>185974.76</v>
      </c>
      <c r="G339" s="409"/>
      <c r="H339" s="409"/>
      <c r="I339" s="409"/>
      <c r="J339" s="409"/>
      <c r="M339" s="393">
        <f>F339+F282</f>
        <v>354627.95</v>
      </c>
    </row>
    <row r="340" spans="1:13" x14ac:dyDescent="0.25">
      <c r="A340" s="409"/>
      <c r="B340" s="411" t="s">
        <v>186</v>
      </c>
      <c r="C340" s="409"/>
      <c r="D340" s="409"/>
      <c r="E340" s="409"/>
      <c r="F340" s="409" t="s">
        <v>1072</v>
      </c>
      <c r="G340" s="409"/>
      <c r="H340" s="409"/>
      <c r="I340" s="409"/>
      <c r="J340" s="409"/>
    </row>
    <row r="341" spans="1:13" x14ac:dyDescent="0.25">
      <c r="A341" s="409"/>
      <c r="B341" s="411" t="s">
        <v>240</v>
      </c>
      <c r="C341" s="409"/>
      <c r="D341" s="409"/>
      <c r="E341" s="409"/>
      <c r="F341" s="409"/>
      <c r="G341" s="409"/>
      <c r="H341" s="409"/>
      <c r="I341" s="409"/>
      <c r="J341" s="409"/>
    </row>
    <row r="342" spans="1:13" x14ac:dyDescent="0.25">
      <c r="A342" s="409"/>
      <c r="B342" s="411" t="s">
        <v>241</v>
      </c>
      <c r="C342" s="409"/>
      <c r="D342" s="409"/>
      <c r="E342" s="409"/>
      <c r="F342" s="409" t="s">
        <v>984</v>
      </c>
      <c r="G342" s="409"/>
      <c r="H342" s="409"/>
      <c r="I342" s="409"/>
      <c r="J342" s="409"/>
    </row>
    <row r="343" spans="1:13" x14ac:dyDescent="0.25">
      <c r="A343" s="409"/>
      <c r="B343" s="411" t="s">
        <v>242</v>
      </c>
      <c r="C343" s="409"/>
      <c r="D343" s="409"/>
      <c r="E343" s="409"/>
      <c r="F343" s="409" t="s">
        <v>1070</v>
      </c>
      <c r="G343" s="409"/>
      <c r="H343" s="409"/>
      <c r="I343" s="409"/>
      <c r="J343" s="409"/>
    </row>
    <row r="344" spans="1:13" x14ac:dyDescent="0.25">
      <c r="A344" s="409"/>
      <c r="B344" s="411" t="s">
        <v>243</v>
      </c>
      <c r="C344" s="409"/>
      <c r="D344" s="409"/>
      <c r="E344" s="409"/>
      <c r="F344" s="409" t="s">
        <v>968</v>
      </c>
      <c r="G344" s="409"/>
      <c r="H344" s="409"/>
      <c r="I344" s="409"/>
      <c r="J344" s="409"/>
    </row>
    <row r="345" spans="1:13" ht="22.5" x14ac:dyDescent="0.25">
      <c r="A345" s="409"/>
      <c r="B345" s="411" t="s">
        <v>244</v>
      </c>
      <c r="C345" s="409"/>
      <c r="D345" s="409"/>
      <c r="E345" s="409"/>
      <c r="F345" s="409" t="s">
        <v>969</v>
      </c>
      <c r="G345" s="409"/>
      <c r="H345" s="409"/>
      <c r="I345" s="409"/>
      <c r="J345" s="409"/>
    </row>
    <row r="346" spans="1:13" x14ac:dyDescent="0.25">
      <c r="A346" s="409"/>
      <c r="B346" s="411" t="s">
        <v>245</v>
      </c>
      <c r="C346" s="409"/>
      <c r="D346" s="409"/>
      <c r="E346" s="409"/>
      <c r="F346" s="409" t="s">
        <v>1073</v>
      </c>
      <c r="G346" s="409"/>
      <c r="H346" s="409"/>
      <c r="I346" s="409"/>
      <c r="J346" s="409"/>
    </row>
    <row r="347" spans="1:13" x14ac:dyDescent="0.25">
      <c r="A347" s="409"/>
      <c r="B347" s="411" t="s">
        <v>246</v>
      </c>
      <c r="C347" s="409"/>
      <c r="D347" s="409"/>
      <c r="E347" s="409"/>
      <c r="F347" s="409" t="s">
        <v>1074</v>
      </c>
      <c r="G347" s="409"/>
      <c r="H347" s="409"/>
      <c r="I347" s="409"/>
      <c r="J347" s="409"/>
    </row>
    <row r="348" spans="1:13" x14ac:dyDescent="0.25">
      <c r="A348" s="409"/>
      <c r="B348" s="411" t="s">
        <v>247</v>
      </c>
      <c r="C348" s="409">
        <v>20</v>
      </c>
      <c r="D348" s="409"/>
      <c r="E348" s="409"/>
      <c r="F348" s="409" t="s">
        <v>1075</v>
      </c>
      <c r="G348" s="409"/>
      <c r="H348" s="409"/>
      <c r="I348" s="409"/>
      <c r="J348" s="409"/>
    </row>
    <row r="349" spans="1:13" ht="22.5" x14ac:dyDescent="0.25">
      <c r="A349" s="409"/>
      <c r="B349" s="411" t="s">
        <v>326</v>
      </c>
      <c r="C349" s="409"/>
      <c r="D349" s="409"/>
      <c r="E349" s="409"/>
      <c r="F349" s="409" t="s">
        <v>1076</v>
      </c>
      <c r="G349" s="409"/>
      <c r="H349" s="409"/>
      <c r="I349" s="409"/>
      <c r="J349" s="409"/>
    </row>
    <row r="350" spans="1:13" x14ac:dyDescent="0.25">
      <c r="A350" s="536"/>
      <c r="B350" s="536"/>
      <c r="C350" s="536"/>
      <c r="D350" s="536"/>
      <c r="E350" s="536"/>
      <c r="F350" s="536"/>
      <c r="G350" s="536"/>
      <c r="H350" s="536"/>
      <c r="I350" s="536"/>
      <c r="J350" s="536"/>
    </row>
    <row r="351" spans="1:13" x14ac:dyDescent="0.25">
      <c r="A351" s="406"/>
      <c r="B351" s="541" t="s">
        <v>767</v>
      </c>
      <c r="C351" s="541"/>
      <c r="D351" s="541"/>
      <c r="E351" s="541"/>
      <c r="F351" s="541"/>
      <c r="G351" s="541"/>
      <c r="H351" s="541"/>
      <c r="I351" s="541"/>
      <c r="J351" s="541"/>
    </row>
    <row r="352" spans="1:13" x14ac:dyDescent="0.25">
      <c r="A352" s="536"/>
      <c r="B352" s="536"/>
      <c r="C352" s="536"/>
      <c r="D352" s="536"/>
      <c r="E352" s="536"/>
      <c r="F352" s="536"/>
      <c r="G352" s="536"/>
      <c r="H352" s="536"/>
      <c r="I352" s="536"/>
      <c r="J352" s="536"/>
    </row>
    <row r="353" spans="1:10" x14ac:dyDescent="0.25">
      <c r="A353" s="542" t="s">
        <v>281</v>
      </c>
      <c r="B353" s="421" t="s">
        <v>768</v>
      </c>
      <c r="C353" s="542">
        <v>820</v>
      </c>
      <c r="D353" s="422" t="s">
        <v>986</v>
      </c>
      <c r="E353" s="423"/>
      <c r="F353" s="542" t="s">
        <v>1046</v>
      </c>
      <c r="G353" s="542"/>
      <c r="H353" s="407"/>
      <c r="I353" s="407"/>
      <c r="J353" s="407"/>
    </row>
    <row r="354" spans="1:10" x14ac:dyDescent="0.25">
      <c r="A354" s="542"/>
      <c r="B354" s="421" t="s">
        <v>985</v>
      </c>
      <c r="C354" s="542"/>
      <c r="D354" s="423"/>
      <c r="E354" s="423"/>
      <c r="F354" s="542"/>
      <c r="G354" s="542"/>
      <c r="H354" s="407"/>
      <c r="I354" s="407"/>
      <c r="J354" s="407"/>
    </row>
    <row r="355" spans="1:10" x14ac:dyDescent="0.25">
      <c r="A355" s="536"/>
      <c r="B355" s="536"/>
      <c r="C355" s="536"/>
      <c r="D355" s="536"/>
      <c r="E355" s="536"/>
      <c r="F355" s="536"/>
      <c r="G355" s="536"/>
      <c r="H355" s="536"/>
      <c r="I355" s="536"/>
      <c r="J355" s="536"/>
    </row>
    <row r="356" spans="1:10" x14ac:dyDescent="0.25">
      <c r="A356" s="535" t="s">
        <v>282</v>
      </c>
      <c r="B356" s="406" t="s">
        <v>769</v>
      </c>
      <c r="C356" s="535">
        <v>8</v>
      </c>
      <c r="D356" s="408" t="s">
        <v>988</v>
      </c>
      <c r="E356" s="407"/>
      <c r="F356" s="535" t="s">
        <v>989</v>
      </c>
      <c r="G356" s="535"/>
      <c r="H356" s="407"/>
      <c r="I356" s="407"/>
      <c r="J356" s="407"/>
    </row>
    <row r="357" spans="1:10" ht="22.5" x14ac:dyDescent="0.25">
      <c r="A357" s="535"/>
      <c r="B357" s="406" t="s">
        <v>987</v>
      </c>
      <c r="C357" s="535"/>
      <c r="D357" s="407"/>
      <c r="E357" s="407"/>
      <c r="F357" s="535"/>
      <c r="G357" s="535"/>
      <c r="H357" s="407"/>
      <c r="I357" s="407"/>
      <c r="J357" s="407"/>
    </row>
    <row r="358" spans="1:10" x14ac:dyDescent="0.25">
      <c r="A358" s="536"/>
      <c r="B358" s="536"/>
      <c r="C358" s="536"/>
      <c r="D358" s="536"/>
      <c r="E358" s="536"/>
      <c r="F358" s="536"/>
      <c r="G358" s="536"/>
      <c r="H358" s="536"/>
      <c r="I358" s="536"/>
      <c r="J358" s="536"/>
    </row>
    <row r="359" spans="1:10" x14ac:dyDescent="0.25">
      <c r="A359" s="535" t="s">
        <v>284</v>
      </c>
      <c r="B359" s="406" t="s">
        <v>770</v>
      </c>
      <c r="C359" s="535">
        <v>164</v>
      </c>
      <c r="D359" s="408" t="s">
        <v>707</v>
      </c>
      <c r="E359" s="407"/>
      <c r="F359" s="535" t="s">
        <v>990</v>
      </c>
      <c r="G359" s="535"/>
      <c r="H359" s="407"/>
      <c r="I359" s="407"/>
      <c r="J359" s="407"/>
    </row>
    <row r="360" spans="1:10" ht="22.5" x14ac:dyDescent="0.25">
      <c r="A360" s="535"/>
      <c r="B360" s="406" t="s">
        <v>771</v>
      </c>
      <c r="C360" s="535"/>
      <c r="D360" s="407"/>
      <c r="E360" s="407"/>
      <c r="F360" s="535"/>
      <c r="G360" s="535"/>
      <c r="H360" s="407"/>
      <c r="I360" s="407"/>
      <c r="J360" s="407"/>
    </row>
    <row r="361" spans="1:10" x14ac:dyDescent="0.25">
      <c r="A361" s="536"/>
      <c r="B361" s="536"/>
      <c r="C361" s="536"/>
      <c r="D361" s="536"/>
      <c r="E361" s="536"/>
      <c r="F361" s="536"/>
      <c r="G361" s="536"/>
      <c r="H361" s="536"/>
      <c r="I361" s="536"/>
      <c r="J361" s="536"/>
    </row>
    <row r="362" spans="1:10" x14ac:dyDescent="0.25">
      <c r="A362" s="535" t="s">
        <v>286</v>
      </c>
      <c r="B362" s="406" t="s">
        <v>772</v>
      </c>
      <c r="C362" s="535" t="s">
        <v>991</v>
      </c>
      <c r="D362" s="408" t="s">
        <v>774</v>
      </c>
      <c r="E362" s="407"/>
      <c r="F362" s="535" t="s">
        <v>992</v>
      </c>
      <c r="G362" s="535"/>
      <c r="H362" s="407"/>
      <c r="I362" s="407"/>
      <c r="J362" s="407"/>
    </row>
    <row r="363" spans="1:10" x14ac:dyDescent="0.25">
      <c r="A363" s="535"/>
      <c r="B363" s="406" t="s">
        <v>773</v>
      </c>
      <c r="C363" s="535"/>
      <c r="D363" s="407"/>
      <c r="E363" s="407"/>
      <c r="F363" s="535"/>
      <c r="G363" s="535"/>
      <c r="H363" s="407"/>
      <c r="I363" s="407"/>
      <c r="J363" s="407"/>
    </row>
    <row r="364" spans="1:10" x14ac:dyDescent="0.25">
      <c r="A364" s="536"/>
      <c r="B364" s="536"/>
      <c r="C364" s="536"/>
      <c r="D364" s="536"/>
      <c r="E364" s="536"/>
      <c r="F364" s="536"/>
      <c r="G364" s="536"/>
      <c r="H364" s="536"/>
      <c r="I364" s="536"/>
      <c r="J364" s="536"/>
    </row>
    <row r="365" spans="1:10" x14ac:dyDescent="0.25">
      <c r="A365" s="535" t="s">
        <v>288</v>
      </c>
      <c r="B365" s="406" t="s">
        <v>775</v>
      </c>
      <c r="C365" s="535">
        <v>500</v>
      </c>
      <c r="D365" s="417">
        <v>8.9</v>
      </c>
      <c r="E365" s="407"/>
      <c r="F365" s="535" t="s">
        <v>777</v>
      </c>
      <c r="G365" s="535"/>
      <c r="H365" s="407"/>
      <c r="I365" s="407"/>
      <c r="J365" s="407"/>
    </row>
    <row r="366" spans="1:10" ht="22.5" x14ac:dyDescent="0.25">
      <c r="A366" s="535"/>
      <c r="B366" s="406" t="s">
        <v>776</v>
      </c>
      <c r="C366" s="535"/>
      <c r="D366" s="407"/>
      <c r="E366" s="407"/>
      <c r="F366" s="535"/>
      <c r="G366" s="535"/>
      <c r="H366" s="407"/>
      <c r="I366" s="407"/>
      <c r="J366" s="407"/>
    </row>
    <row r="367" spans="1:10" x14ac:dyDescent="0.25">
      <c r="A367" s="536"/>
      <c r="B367" s="536"/>
      <c r="C367" s="536"/>
      <c r="D367" s="536"/>
      <c r="E367" s="536"/>
      <c r="F367" s="536"/>
      <c r="G367" s="536"/>
      <c r="H367" s="536"/>
      <c r="I367" s="536"/>
      <c r="J367" s="536"/>
    </row>
    <row r="368" spans="1:10" x14ac:dyDescent="0.25">
      <c r="A368" s="535" t="s">
        <v>290</v>
      </c>
      <c r="B368" s="406" t="s">
        <v>778</v>
      </c>
      <c r="C368" s="535">
        <v>100</v>
      </c>
      <c r="D368" s="417">
        <v>2.2000000000000002</v>
      </c>
      <c r="E368" s="407"/>
      <c r="F368" s="535" t="s">
        <v>780</v>
      </c>
      <c r="G368" s="535"/>
      <c r="H368" s="407"/>
      <c r="I368" s="407"/>
      <c r="J368" s="407"/>
    </row>
    <row r="369" spans="1:10" ht="33" x14ac:dyDescent="0.25">
      <c r="A369" s="535"/>
      <c r="B369" s="406" t="s">
        <v>779</v>
      </c>
      <c r="C369" s="535"/>
      <c r="D369" s="407"/>
      <c r="E369" s="407"/>
      <c r="F369" s="535"/>
      <c r="G369" s="535"/>
      <c r="H369" s="407"/>
      <c r="I369" s="407"/>
      <c r="J369" s="407"/>
    </row>
    <row r="370" spans="1:10" x14ac:dyDescent="0.25">
      <c r="A370" s="536"/>
      <c r="B370" s="536"/>
      <c r="C370" s="536"/>
      <c r="D370" s="536"/>
      <c r="E370" s="536"/>
      <c r="F370" s="536"/>
      <c r="G370" s="536"/>
      <c r="H370" s="536"/>
      <c r="I370" s="536"/>
      <c r="J370" s="536"/>
    </row>
    <row r="371" spans="1:10" x14ac:dyDescent="0.25">
      <c r="A371" s="535" t="s">
        <v>292</v>
      </c>
      <c r="B371" s="406" t="s">
        <v>781</v>
      </c>
      <c r="C371" s="535">
        <v>2</v>
      </c>
      <c r="D371" s="408" t="s">
        <v>783</v>
      </c>
      <c r="E371" s="407"/>
      <c r="F371" s="535" t="s">
        <v>784</v>
      </c>
      <c r="G371" s="535"/>
      <c r="H371" s="407"/>
      <c r="I371" s="407"/>
      <c r="J371" s="407"/>
    </row>
    <row r="372" spans="1:10" ht="22.5" x14ac:dyDescent="0.25">
      <c r="A372" s="535"/>
      <c r="B372" s="406" t="s">
        <v>782</v>
      </c>
      <c r="C372" s="535"/>
      <c r="D372" s="407"/>
      <c r="E372" s="407"/>
      <c r="F372" s="535"/>
      <c r="G372" s="535"/>
      <c r="H372" s="407"/>
      <c r="I372" s="407"/>
      <c r="J372" s="407"/>
    </row>
    <row r="373" spans="1:10" x14ac:dyDescent="0.25">
      <c r="A373" s="536"/>
      <c r="B373" s="536"/>
      <c r="C373" s="536"/>
      <c r="D373" s="536"/>
      <c r="E373" s="536"/>
      <c r="F373" s="536"/>
      <c r="G373" s="536"/>
      <c r="H373" s="536"/>
      <c r="I373" s="536"/>
      <c r="J373" s="536"/>
    </row>
    <row r="374" spans="1:10" x14ac:dyDescent="0.25">
      <c r="A374" s="409"/>
      <c r="B374" s="411" t="s">
        <v>188</v>
      </c>
      <c r="C374" s="409"/>
      <c r="D374" s="409"/>
      <c r="E374" s="409"/>
      <c r="F374" s="409" t="s">
        <v>993</v>
      </c>
      <c r="G374" s="409"/>
      <c r="H374" s="409"/>
      <c r="I374" s="409"/>
      <c r="J374" s="409"/>
    </row>
    <row r="375" spans="1:10" ht="33" x14ac:dyDescent="0.25">
      <c r="A375" s="409"/>
      <c r="B375" s="411" t="s">
        <v>112</v>
      </c>
      <c r="C375" s="409"/>
      <c r="D375" s="409"/>
      <c r="E375" s="409"/>
      <c r="F375" s="409" t="s">
        <v>993</v>
      </c>
      <c r="G375" s="409"/>
      <c r="H375" s="409"/>
      <c r="I375" s="409"/>
      <c r="J375" s="409"/>
    </row>
    <row r="376" spans="1:10" ht="33" x14ac:dyDescent="0.25">
      <c r="A376" s="409"/>
      <c r="B376" s="411" t="s">
        <v>113</v>
      </c>
      <c r="C376" s="409"/>
      <c r="D376" s="409"/>
      <c r="E376" s="409"/>
      <c r="F376" s="409" t="s">
        <v>993</v>
      </c>
      <c r="G376" s="409"/>
      <c r="H376" s="409"/>
      <c r="I376" s="409"/>
      <c r="J376" s="409"/>
    </row>
    <row r="377" spans="1:10" x14ac:dyDescent="0.25">
      <c r="A377" s="409"/>
      <c r="B377" s="411" t="s">
        <v>189</v>
      </c>
      <c r="C377" s="409"/>
      <c r="D377" s="409"/>
      <c r="E377" s="409"/>
      <c r="F377" s="425">
        <v>633817.75</v>
      </c>
      <c r="G377" s="409"/>
      <c r="H377" s="409"/>
      <c r="I377" s="409"/>
      <c r="J377" s="409"/>
    </row>
    <row r="378" spans="1:10" x14ac:dyDescent="0.25">
      <c r="A378" s="409"/>
      <c r="B378" s="411" t="s">
        <v>240</v>
      </c>
      <c r="C378" s="409"/>
      <c r="D378" s="409"/>
      <c r="E378" s="409"/>
      <c r="F378" s="409"/>
      <c r="G378" s="409"/>
      <c r="H378" s="409"/>
      <c r="I378" s="409"/>
      <c r="J378" s="409"/>
    </row>
    <row r="379" spans="1:10" x14ac:dyDescent="0.25">
      <c r="A379" s="409"/>
      <c r="B379" s="411" t="s">
        <v>241</v>
      </c>
      <c r="C379" s="409"/>
      <c r="D379" s="409"/>
      <c r="E379" s="409"/>
      <c r="F379" s="409" t="s">
        <v>993</v>
      </c>
      <c r="G379" s="409"/>
      <c r="H379" s="409"/>
      <c r="I379" s="409"/>
      <c r="J379" s="409"/>
    </row>
    <row r="380" spans="1:10" x14ac:dyDescent="0.25">
      <c r="A380" s="409"/>
      <c r="B380" s="411" t="s">
        <v>247</v>
      </c>
      <c r="C380" s="409">
        <v>20</v>
      </c>
      <c r="D380" s="409"/>
      <c r="E380" s="409"/>
      <c r="F380" s="409" t="s">
        <v>994</v>
      </c>
      <c r="G380" s="409"/>
      <c r="H380" s="409"/>
      <c r="I380" s="409"/>
      <c r="J380" s="409"/>
    </row>
    <row r="381" spans="1:10" ht="22.5" x14ac:dyDescent="0.25">
      <c r="A381" s="409"/>
      <c r="B381" s="411" t="s">
        <v>329</v>
      </c>
      <c r="C381" s="409"/>
      <c r="D381" s="409"/>
      <c r="E381" s="409"/>
      <c r="F381" s="409" t="s">
        <v>995</v>
      </c>
      <c r="G381" s="409"/>
      <c r="H381" s="409"/>
      <c r="I381" s="409"/>
      <c r="J381" s="409"/>
    </row>
    <row r="382" spans="1:10" x14ac:dyDescent="0.25">
      <c r="A382" s="536"/>
      <c r="B382" s="536"/>
      <c r="C382" s="536"/>
      <c r="D382" s="536"/>
      <c r="E382" s="536"/>
      <c r="F382" s="536"/>
      <c r="G382" s="536"/>
      <c r="H382" s="536"/>
      <c r="I382" s="536"/>
      <c r="J382" s="536"/>
    </row>
    <row r="383" spans="1:10" x14ac:dyDescent="0.25">
      <c r="A383" s="406"/>
      <c r="B383" s="541" t="s">
        <v>1047</v>
      </c>
      <c r="C383" s="541"/>
      <c r="D383" s="541"/>
      <c r="E383" s="541"/>
      <c r="F383" s="541"/>
      <c r="G383" s="541"/>
      <c r="H383" s="541"/>
      <c r="I383" s="541"/>
      <c r="J383" s="541"/>
    </row>
    <row r="384" spans="1:10" x14ac:dyDescent="0.25">
      <c r="A384" s="536"/>
      <c r="B384" s="536"/>
      <c r="C384" s="536"/>
      <c r="D384" s="536"/>
      <c r="E384" s="536"/>
      <c r="F384" s="536"/>
      <c r="G384" s="536"/>
      <c r="H384" s="536"/>
      <c r="I384" s="536"/>
      <c r="J384" s="536"/>
    </row>
    <row r="385" spans="1:10" x14ac:dyDescent="0.25">
      <c r="A385" s="535" t="s">
        <v>294</v>
      </c>
      <c r="B385" s="406" t="s">
        <v>785</v>
      </c>
      <c r="C385" s="535" t="s">
        <v>787</v>
      </c>
      <c r="D385" s="537" t="s">
        <v>788</v>
      </c>
      <c r="E385" s="537" t="s">
        <v>789</v>
      </c>
      <c r="F385" s="535" t="s">
        <v>790</v>
      </c>
      <c r="G385" s="535" t="s">
        <v>791</v>
      </c>
      <c r="H385" s="537" t="s">
        <v>792</v>
      </c>
      <c r="I385" s="537" t="s">
        <v>793</v>
      </c>
      <c r="J385" s="537" t="s">
        <v>794</v>
      </c>
    </row>
    <row r="386" spans="1:10" ht="22.5" x14ac:dyDescent="0.25">
      <c r="A386" s="535"/>
      <c r="B386" s="406" t="s">
        <v>226</v>
      </c>
      <c r="C386" s="535"/>
      <c r="D386" s="537"/>
      <c r="E386" s="537"/>
      <c r="F386" s="535"/>
      <c r="G386" s="535"/>
      <c r="H386" s="537"/>
      <c r="I386" s="537"/>
      <c r="J386" s="537"/>
    </row>
    <row r="387" spans="1:10" ht="64.5" x14ac:dyDescent="0.25">
      <c r="A387" s="535"/>
      <c r="B387" s="406" t="s">
        <v>786</v>
      </c>
      <c r="C387" s="535"/>
      <c r="D387" s="407" t="s">
        <v>795</v>
      </c>
      <c r="E387" s="407" t="s">
        <v>796</v>
      </c>
      <c r="F387" s="535"/>
      <c r="G387" s="535"/>
      <c r="H387" s="407" t="s">
        <v>797</v>
      </c>
      <c r="I387" s="407" t="s">
        <v>798</v>
      </c>
      <c r="J387" s="407" t="s">
        <v>799</v>
      </c>
    </row>
    <row r="388" spans="1:10" x14ac:dyDescent="0.25">
      <c r="A388" s="536"/>
      <c r="B388" s="536"/>
      <c r="C388" s="536"/>
      <c r="D388" s="536"/>
      <c r="E388" s="536"/>
      <c r="F388" s="536"/>
      <c r="G388" s="536"/>
      <c r="H388" s="536"/>
      <c r="I388" s="536"/>
      <c r="J388" s="536"/>
    </row>
    <row r="389" spans="1:10" x14ac:dyDescent="0.25">
      <c r="A389" s="535" t="s">
        <v>295</v>
      </c>
      <c r="B389" s="406" t="s">
        <v>730</v>
      </c>
      <c r="C389" s="535" t="s">
        <v>800</v>
      </c>
      <c r="D389" s="537" t="s">
        <v>732</v>
      </c>
      <c r="E389" s="535"/>
      <c r="F389" s="535" t="s">
        <v>801</v>
      </c>
      <c r="G389" s="535" t="s">
        <v>801</v>
      </c>
      <c r="H389" s="535"/>
      <c r="I389" s="537">
        <v>154</v>
      </c>
      <c r="J389" s="537" t="s">
        <v>802</v>
      </c>
    </row>
    <row r="390" spans="1:10" ht="22.5" x14ac:dyDescent="0.25">
      <c r="A390" s="535"/>
      <c r="B390" s="406" t="s">
        <v>226</v>
      </c>
      <c r="C390" s="535"/>
      <c r="D390" s="537"/>
      <c r="E390" s="535"/>
      <c r="F390" s="535"/>
      <c r="G390" s="535"/>
      <c r="H390" s="535"/>
      <c r="I390" s="537"/>
      <c r="J390" s="537"/>
    </row>
    <row r="391" spans="1:10" ht="43.5" x14ac:dyDescent="0.25">
      <c r="A391" s="535"/>
      <c r="B391" s="406" t="s">
        <v>731</v>
      </c>
      <c r="C391" s="535"/>
      <c r="D391" s="407" t="s">
        <v>732</v>
      </c>
      <c r="E391" s="407"/>
      <c r="F391" s="535"/>
      <c r="G391" s="535"/>
      <c r="H391" s="407"/>
      <c r="I391" s="407"/>
      <c r="J391" s="407"/>
    </row>
    <row r="392" spans="1:10" x14ac:dyDescent="0.25">
      <c r="A392" s="536"/>
      <c r="B392" s="536"/>
      <c r="C392" s="536"/>
      <c r="D392" s="536"/>
      <c r="E392" s="536"/>
      <c r="F392" s="536"/>
      <c r="G392" s="536"/>
      <c r="H392" s="536"/>
      <c r="I392" s="536"/>
      <c r="J392" s="536"/>
    </row>
    <row r="393" spans="1:10" x14ac:dyDescent="0.25">
      <c r="A393" s="535" t="s">
        <v>297</v>
      </c>
      <c r="B393" s="406" t="s">
        <v>803</v>
      </c>
      <c r="C393" s="535">
        <v>56</v>
      </c>
      <c r="D393" s="408" t="s">
        <v>805</v>
      </c>
      <c r="E393" s="408" t="s">
        <v>805</v>
      </c>
      <c r="F393" s="535" t="s">
        <v>806</v>
      </c>
      <c r="G393" s="535"/>
      <c r="H393" s="408" t="s">
        <v>806</v>
      </c>
      <c r="I393" s="407"/>
      <c r="J393" s="407"/>
    </row>
    <row r="394" spans="1:10" ht="33" x14ac:dyDescent="0.25">
      <c r="A394" s="535"/>
      <c r="B394" s="406" t="s">
        <v>804</v>
      </c>
      <c r="C394" s="535"/>
      <c r="D394" s="407"/>
      <c r="E394" s="416">
        <v>6.07</v>
      </c>
      <c r="F394" s="535"/>
      <c r="G394" s="535"/>
      <c r="H394" s="407" t="s">
        <v>807</v>
      </c>
      <c r="I394" s="407" t="s">
        <v>650</v>
      </c>
      <c r="J394" s="407" t="s">
        <v>808</v>
      </c>
    </row>
    <row r="395" spans="1:10" x14ac:dyDescent="0.25">
      <c r="A395" s="536"/>
      <c r="B395" s="536"/>
      <c r="C395" s="536"/>
      <c r="D395" s="536"/>
      <c r="E395" s="536"/>
      <c r="F395" s="536"/>
      <c r="G395" s="536"/>
      <c r="H395" s="536"/>
      <c r="I395" s="536"/>
      <c r="J395" s="536"/>
    </row>
    <row r="396" spans="1:10" x14ac:dyDescent="0.25">
      <c r="A396" s="535" t="s">
        <v>299</v>
      </c>
      <c r="B396" s="406" t="s">
        <v>809</v>
      </c>
      <c r="C396" s="535">
        <v>56</v>
      </c>
      <c r="D396" s="408" t="s">
        <v>811</v>
      </c>
      <c r="E396" s="408" t="s">
        <v>811</v>
      </c>
      <c r="F396" s="535" t="s">
        <v>812</v>
      </c>
      <c r="G396" s="535"/>
      <c r="H396" s="408" t="s">
        <v>812</v>
      </c>
      <c r="I396" s="407"/>
      <c r="J396" s="407"/>
    </row>
    <row r="397" spans="1:10" ht="33" x14ac:dyDescent="0.25">
      <c r="A397" s="535"/>
      <c r="B397" s="406" t="s">
        <v>810</v>
      </c>
      <c r="C397" s="535"/>
      <c r="D397" s="407"/>
      <c r="E397" s="407" t="s">
        <v>813</v>
      </c>
      <c r="F397" s="535"/>
      <c r="G397" s="535"/>
      <c r="H397" s="407" t="s">
        <v>814</v>
      </c>
      <c r="I397" s="407" t="s">
        <v>815</v>
      </c>
      <c r="J397" s="407" t="s">
        <v>816</v>
      </c>
    </row>
    <row r="398" spans="1:10" x14ac:dyDescent="0.25">
      <c r="A398" s="536"/>
      <c r="B398" s="536"/>
      <c r="C398" s="536"/>
      <c r="D398" s="536"/>
      <c r="E398" s="536"/>
      <c r="F398" s="536"/>
      <c r="G398" s="536"/>
      <c r="H398" s="536"/>
      <c r="I398" s="536"/>
      <c r="J398" s="536"/>
    </row>
    <row r="399" spans="1:10" x14ac:dyDescent="0.25">
      <c r="A399" s="535" t="s">
        <v>301</v>
      </c>
      <c r="B399" s="406" t="s">
        <v>817</v>
      </c>
      <c r="C399" s="535" t="s">
        <v>819</v>
      </c>
      <c r="D399" s="537" t="s">
        <v>820</v>
      </c>
      <c r="E399" s="537" t="s">
        <v>821</v>
      </c>
      <c r="F399" s="535" t="s">
        <v>822</v>
      </c>
      <c r="G399" s="535" t="s">
        <v>823</v>
      </c>
      <c r="H399" s="537" t="s">
        <v>824</v>
      </c>
      <c r="I399" s="538">
        <v>2.2999999999999998</v>
      </c>
      <c r="J399" s="537" t="s">
        <v>825</v>
      </c>
    </row>
    <row r="400" spans="1:10" ht="22.5" x14ac:dyDescent="0.25">
      <c r="A400" s="535"/>
      <c r="B400" s="406" t="s">
        <v>226</v>
      </c>
      <c r="C400" s="535"/>
      <c r="D400" s="537"/>
      <c r="E400" s="537"/>
      <c r="F400" s="535"/>
      <c r="G400" s="535"/>
      <c r="H400" s="537"/>
      <c r="I400" s="538"/>
      <c r="J400" s="537"/>
    </row>
    <row r="401" spans="1:10" ht="33" x14ac:dyDescent="0.25">
      <c r="A401" s="535"/>
      <c r="B401" s="406" t="s">
        <v>818</v>
      </c>
      <c r="C401" s="535"/>
      <c r="D401" s="407" t="s">
        <v>826</v>
      </c>
      <c r="E401" s="407" t="s">
        <v>827</v>
      </c>
      <c r="F401" s="535"/>
      <c r="G401" s="535"/>
      <c r="H401" s="407" t="s">
        <v>828</v>
      </c>
      <c r="I401" s="407" t="s">
        <v>829</v>
      </c>
      <c r="J401" s="420">
        <v>4.6776999999999997</v>
      </c>
    </row>
    <row r="402" spans="1:10" x14ac:dyDescent="0.25">
      <c r="A402" s="536"/>
      <c r="B402" s="536"/>
      <c r="C402" s="536"/>
      <c r="D402" s="536"/>
      <c r="E402" s="536"/>
      <c r="F402" s="536"/>
      <c r="G402" s="536"/>
      <c r="H402" s="536"/>
      <c r="I402" s="536"/>
      <c r="J402" s="536"/>
    </row>
    <row r="403" spans="1:10" x14ac:dyDescent="0.25">
      <c r="A403" s="535" t="s">
        <v>303</v>
      </c>
      <c r="B403" s="406" t="s">
        <v>759</v>
      </c>
      <c r="C403" s="535" t="s">
        <v>831</v>
      </c>
      <c r="D403" s="537" t="s">
        <v>761</v>
      </c>
      <c r="E403" s="535"/>
      <c r="F403" s="535" t="s">
        <v>832</v>
      </c>
      <c r="G403" s="535" t="s">
        <v>832</v>
      </c>
      <c r="H403" s="535"/>
      <c r="I403" s="537" t="s">
        <v>762</v>
      </c>
      <c r="J403" s="537" t="s">
        <v>833</v>
      </c>
    </row>
    <row r="404" spans="1:10" ht="22.5" x14ac:dyDescent="0.25">
      <c r="A404" s="535"/>
      <c r="B404" s="406" t="s">
        <v>226</v>
      </c>
      <c r="C404" s="535"/>
      <c r="D404" s="537"/>
      <c r="E404" s="535"/>
      <c r="F404" s="535"/>
      <c r="G404" s="535"/>
      <c r="H404" s="535"/>
      <c r="I404" s="537"/>
      <c r="J404" s="537"/>
    </row>
    <row r="405" spans="1:10" ht="43.5" x14ac:dyDescent="0.25">
      <c r="A405" s="535"/>
      <c r="B405" s="406" t="s">
        <v>760</v>
      </c>
      <c r="C405" s="535"/>
      <c r="D405" s="407" t="s">
        <v>761</v>
      </c>
      <c r="E405" s="407"/>
      <c r="F405" s="535"/>
      <c r="G405" s="535"/>
      <c r="H405" s="407"/>
      <c r="I405" s="407"/>
      <c r="J405" s="407"/>
    </row>
    <row r="406" spans="1:10" x14ac:dyDescent="0.25">
      <c r="A406" s="536"/>
      <c r="B406" s="536"/>
      <c r="C406" s="536"/>
      <c r="D406" s="536"/>
      <c r="E406" s="536"/>
      <c r="F406" s="536"/>
      <c r="G406" s="536"/>
      <c r="H406" s="536"/>
      <c r="I406" s="536"/>
      <c r="J406" s="536"/>
    </row>
    <row r="407" spans="1:10" x14ac:dyDescent="0.25">
      <c r="A407" s="535" t="s">
        <v>830</v>
      </c>
      <c r="B407" s="406" t="s">
        <v>834</v>
      </c>
      <c r="C407" s="535" t="s">
        <v>836</v>
      </c>
      <c r="D407" s="537" t="s">
        <v>837</v>
      </c>
      <c r="E407" s="537" t="s">
        <v>838</v>
      </c>
      <c r="F407" s="535" t="s">
        <v>839</v>
      </c>
      <c r="G407" s="535" t="s">
        <v>840</v>
      </c>
      <c r="H407" s="537" t="s">
        <v>841</v>
      </c>
      <c r="I407" s="537" t="s">
        <v>842</v>
      </c>
      <c r="J407" s="537" t="s">
        <v>843</v>
      </c>
    </row>
    <row r="408" spans="1:10" ht="22.5" x14ac:dyDescent="0.25">
      <c r="A408" s="535"/>
      <c r="B408" s="406" t="s">
        <v>226</v>
      </c>
      <c r="C408" s="535"/>
      <c r="D408" s="537"/>
      <c r="E408" s="537"/>
      <c r="F408" s="535"/>
      <c r="G408" s="535"/>
      <c r="H408" s="537"/>
      <c r="I408" s="537"/>
      <c r="J408" s="537"/>
    </row>
    <row r="409" spans="1:10" ht="43.5" x14ac:dyDescent="0.25">
      <c r="A409" s="535"/>
      <c r="B409" s="406" t="s">
        <v>835</v>
      </c>
      <c r="C409" s="535"/>
      <c r="D409" s="407" t="s">
        <v>844</v>
      </c>
      <c r="E409" s="407" t="s">
        <v>845</v>
      </c>
      <c r="F409" s="535"/>
      <c r="G409" s="535"/>
      <c r="H409" s="407" t="s">
        <v>846</v>
      </c>
      <c r="I409" s="407" t="s">
        <v>847</v>
      </c>
      <c r="J409" s="420">
        <v>1.5371999999999999</v>
      </c>
    </row>
    <row r="410" spans="1:10" x14ac:dyDescent="0.25">
      <c r="A410" s="536"/>
      <c r="B410" s="536"/>
      <c r="C410" s="536"/>
      <c r="D410" s="536"/>
      <c r="E410" s="536"/>
      <c r="F410" s="536"/>
      <c r="G410" s="536"/>
      <c r="H410" s="536"/>
      <c r="I410" s="536"/>
      <c r="J410" s="536"/>
    </row>
    <row r="411" spans="1:10" x14ac:dyDescent="0.25">
      <c r="A411" s="535" t="s">
        <v>305</v>
      </c>
      <c r="B411" s="406" t="s">
        <v>848</v>
      </c>
      <c r="C411" s="535">
        <v>1</v>
      </c>
      <c r="D411" s="537" t="s">
        <v>850</v>
      </c>
      <c r="E411" s="537" t="s">
        <v>851</v>
      </c>
      <c r="F411" s="535" t="s">
        <v>850</v>
      </c>
      <c r="G411" s="535" t="s">
        <v>852</v>
      </c>
      <c r="H411" s="537" t="s">
        <v>851</v>
      </c>
      <c r="I411" s="537" t="s">
        <v>853</v>
      </c>
      <c r="J411" s="537" t="s">
        <v>853</v>
      </c>
    </row>
    <row r="412" spans="1:10" ht="22.5" x14ac:dyDescent="0.25">
      <c r="A412" s="535"/>
      <c r="B412" s="406" t="s">
        <v>227</v>
      </c>
      <c r="C412" s="535"/>
      <c r="D412" s="537"/>
      <c r="E412" s="537"/>
      <c r="F412" s="535"/>
      <c r="G412" s="535"/>
      <c r="H412" s="537"/>
      <c r="I412" s="537"/>
      <c r="J412" s="537"/>
    </row>
    <row r="413" spans="1:10" ht="54" x14ac:dyDescent="0.25">
      <c r="A413" s="535"/>
      <c r="B413" s="406" t="s">
        <v>849</v>
      </c>
      <c r="C413" s="535"/>
      <c r="D413" s="407" t="s">
        <v>852</v>
      </c>
      <c r="E413" s="407" t="s">
        <v>854</v>
      </c>
      <c r="F413" s="535"/>
      <c r="G413" s="535"/>
      <c r="H413" s="407" t="s">
        <v>854</v>
      </c>
      <c r="I413" s="416">
        <v>9.8699999999999992</v>
      </c>
      <c r="J413" s="416">
        <v>9.8699999999999992</v>
      </c>
    </row>
    <row r="414" spans="1:10" x14ac:dyDescent="0.25">
      <c r="A414" s="406"/>
      <c r="B414" s="543" t="s">
        <v>131</v>
      </c>
      <c r="C414" s="543"/>
      <c r="D414" s="543"/>
      <c r="E414" s="543"/>
      <c r="F414" s="543"/>
      <c r="G414" s="543"/>
      <c r="H414" s="543"/>
      <c r="I414" s="543"/>
      <c r="J414" s="543"/>
    </row>
    <row r="415" spans="1:10" x14ac:dyDescent="0.25">
      <c r="A415" s="536"/>
      <c r="B415" s="536"/>
      <c r="C415" s="536"/>
      <c r="D415" s="536"/>
      <c r="E415" s="536"/>
      <c r="F415" s="536"/>
      <c r="G415" s="536"/>
      <c r="H415" s="536"/>
      <c r="I415" s="536"/>
      <c r="J415" s="536"/>
    </row>
    <row r="416" spans="1:10" x14ac:dyDescent="0.25">
      <c r="A416" s="535" t="s">
        <v>308</v>
      </c>
      <c r="B416" s="406" t="s">
        <v>855</v>
      </c>
      <c r="C416" s="535" t="s">
        <v>141</v>
      </c>
      <c r="D416" s="537" t="s">
        <v>857</v>
      </c>
      <c r="E416" s="535"/>
      <c r="F416" s="535" t="s">
        <v>858</v>
      </c>
      <c r="G416" s="535" t="s">
        <v>858</v>
      </c>
      <c r="H416" s="535"/>
      <c r="I416" s="537">
        <v>16</v>
      </c>
      <c r="J416" s="538">
        <v>2.56</v>
      </c>
    </row>
    <row r="417" spans="1:10" ht="22.5" x14ac:dyDescent="0.25">
      <c r="A417" s="535"/>
      <c r="B417" s="406" t="s">
        <v>227</v>
      </c>
      <c r="C417" s="535"/>
      <c r="D417" s="537"/>
      <c r="E417" s="535"/>
      <c r="F417" s="535"/>
      <c r="G417" s="535"/>
      <c r="H417" s="535"/>
      <c r="I417" s="537"/>
      <c r="J417" s="538"/>
    </row>
    <row r="418" spans="1:10" ht="43.5" x14ac:dyDescent="0.25">
      <c r="A418" s="535"/>
      <c r="B418" s="406" t="s">
        <v>856</v>
      </c>
      <c r="C418" s="535"/>
      <c r="D418" s="407" t="s">
        <v>857</v>
      </c>
      <c r="E418" s="407"/>
      <c r="F418" s="535"/>
      <c r="G418" s="535"/>
      <c r="H418" s="407"/>
      <c r="I418" s="407"/>
      <c r="J418" s="407"/>
    </row>
    <row r="419" spans="1:10" x14ac:dyDescent="0.25">
      <c r="A419" s="536"/>
      <c r="B419" s="536"/>
      <c r="C419" s="536"/>
      <c r="D419" s="536"/>
      <c r="E419" s="536"/>
      <c r="F419" s="536"/>
      <c r="G419" s="536"/>
      <c r="H419" s="536"/>
      <c r="I419" s="536"/>
      <c r="J419" s="536"/>
    </row>
    <row r="420" spans="1:10" x14ac:dyDescent="0.25">
      <c r="A420" s="535" t="s">
        <v>310</v>
      </c>
      <c r="B420" s="406" t="s">
        <v>859</v>
      </c>
      <c r="C420" s="535">
        <v>2</v>
      </c>
      <c r="D420" s="537" t="s">
        <v>861</v>
      </c>
      <c r="E420" s="535"/>
      <c r="F420" s="535" t="s">
        <v>862</v>
      </c>
      <c r="G420" s="535" t="s">
        <v>862</v>
      </c>
      <c r="H420" s="535"/>
      <c r="I420" s="537">
        <v>4</v>
      </c>
      <c r="J420" s="537">
        <v>8</v>
      </c>
    </row>
    <row r="421" spans="1:10" ht="22.5" x14ac:dyDescent="0.25">
      <c r="A421" s="535"/>
      <c r="B421" s="406" t="s">
        <v>227</v>
      </c>
      <c r="C421" s="535"/>
      <c r="D421" s="537"/>
      <c r="E421" s="535"/>
      <c r="F421" s="535"/>
      <c r="G421" s="535"/>
      <c r="H421" s="535"/>
      <c r="I421" s="537"/>
      <c r="J421" s="537"/>
    </row>
    <row r="422" spans="1:10" ht="33" x14ac:dyDescent="0.25">
      <c r="A422" s="535"/>
      <c r="B422" s="406" t="s">
        <v>860</v>
      </c>
      <c r="C422" s="535"/>
      <c r="D422" s="407" t="s">
        <v>861</v>
      </c>
      <c r="E422" s="407"/>
      <c r="F422" s="535"/>
      <c r="G422" s="535"/>
      <c r="H422" s="407"/>
      <c r="I422" s="407"/>
      <c r="J422" s="407"/>
    </row>
    <row r="423" spans="1:10" x14ac:dyDescent="0.25">
      <c r="A423" s="536"/>
      <c r="B423" s="536"/>
      <c r="C423" s="536"/>
      <c r="D423" s="536"/>
      <c r="E423" s="536"/>
      <c r="F423" s="536"/>
      <c r="G423" s="536"/>
      <c r="H423" s="536"/>
      <c r="I423" s="536"/>
      <c r="J423" s="536"/>
    </row>
    <row r="424" spans="1:10" x14ac:dyDescent="0.25">
      <c r="A424" s="535" t="s">
        <v>312</v>
      </c>
      <c r="B424" s="406" t="s">
        <v>863</v>
      </c>
      <c r="C424" s="535">
        <v>4</v>
      </c>
      <c r="D424" s="537" t="s">
        <v>865</v>
      </c>
      <c r="E424" s="535"/>
      <c r="F424" s="535" t="s">
        <v>862</v>
      </c>
      <c r="G424" s="535" t="s">
        <v>862</v>
      </c>
      <c r="H424" s="535"/>
      <c r="I424" s="537">
        <v>2</v>
      </c>
      <c r="J424" s="537">
        <v>8</v>
      </c>
    </row>
    <row r="425" spans="1:10" ht="22.5" x14ac:dyDescent="0.25">
      <c r="A425" s="535"/>
      <c r="B425" s="406" t="s">
        <v>227</v>
      </c>
      <c r="C425" s="535"/>
      <c r="D425" s="537"/>
      <c r="E425" s="535"/>
      <c r="F425" s="535"/>
      <c r="G425" s="535"/>
      <c r="H425" s="535"/>
      <c r="I425" s="537"/>
      <c r="J425" s="537"/>
    </row>
    <row r="426" spans="1:10" ht="43.5" x14ac:dyDescent="0.25">
      <c r="A426" s="535"/>
      <c r="B426" s="406" t="s">
        <v>864</v>
      </c>
      <c r="C426" s="535"/>
      <c r="D426" s="407" t="s">
        <v>865</v>
      </c>
      <c r="E426" s="407"/>
      <c r="F426" s="535"/>
      <c r="G426" s="535"/>
      <c r="H426" s="407"/>
      <c r="I426" s="407"/>
      <c r="J426" s="407"/>
    </row>
    <row r="427" spans="1:10" x14ac:dyDescent="0.25">
      <c r="A427" s="536"/>
      <c r="B427" s="536"/>
      <c r="C427" s="536"/>
      <c r="D427" s="536"/>
      <c r="E427" s="536"/>
      <c r="F427" s="536"/>
      <c r="G427" s="536"/>
      <c r="H427" s="536"/>
      <c r="I427" s="536"/>
      <c r="J427" s="536"/>
    </row>
    <row r="428" spans="1:10" x14ac:dyDescent="0.25">
      <c r="A428" s="535" t="s">
        <v>314</v>
      </c>
      <c r="B428" s="406" t="s">
        <v>866</v>
      </c>
      <c r="C428" s="535">
        <v>2</v>
      </c>
      <c r="D428" s="537" t="s">
        <v>868</v>
      </c>
      <c r="E428" s="535"/>
      <c r="F428" s="535" t="s">
        <v>869</v>
      </c>
      <c r="G428" s="535" t="s">
        <v>869</v>
      </c>
      <c r="H428" s="535"/>
      <c r="I428" s="537" t="s">
        <v>870</v>
      </c>
      <c r="J428" s="537" t="s">
        <v>871</v>
      </c>
    </row>
    <row r="429" spans="1:10" ht="22.5" x14ac:dyDescent="0.25">
      <c r="A429" s="535"/>
      <c r="B429" s="406" t="s">
        <v>227</v>
      </c>
      <c r="C429" s="535"/>
      <c r="D429" s="537"/>
      <c r="E429" s="535"/>
      <c r="F429" s="535"/>
      <c r="G429" s="535"/>
      <c r="H429" s="535"/>
      <c r="I429" s="537"/>
      <c r="J429" s="537"/>
    </row>
    <row r="430" spans="1:10" ht="43.5" x14ac:dyDescent="0.25">
      <c r="A430" s="535"/>
      <c r="B430" s="406" t="s">
        <v>867</v>
      </c>
      <c r="C430" s="535"/>
      <c r="D430" s="407" t="s">
        <v>868</v>
      </c>
      <c r="E430" s="407"/>
      <c r="F430" s="535"/>
      <c r="G430" s="535"/>
      <c r="H430" s="407"/>
      <c r="I430" s="407"/>
      <c r="J430" s="407"/>
    </row>
    <row r="431" spans="1:10" x14ac:dyDescent="0.25">
      <c r="A431" s="536"/>
      <c r="B431" s="536"/>
      <c r="C431" s="536"/>
      <c r="D431" s="536"/>
      <c r="E431" s="536"/>
      <c r="F431" s="536"/>
      <c r="G431" s="536"/>
      <c r="H431" s="536"/>
      <c r="I431" s="536"/>
      <c r="J431" s="536"/>
    </row>
    <row r="432" spans="1:10" ht="31.5" customHeight="1" x14ac:dyDescent="0.25">
      <c r="A432" s="539"/>
      <c r="B432" s="540" t="s">
        <v>330</v>
      </c>
      <c r="C432" s="539"/>
      <c r="D432" s="409"/>
      <c r="E432" s="409"/>
      <c r="F432" s="539" t="s">
        <v>872</v>
      </c>
      <c r="G432" s="539" t="s">
        <v>873</v>
      </c>
      <c r="H432" s="410" t="s">
        <v>874</v>
      </c>
      <c r="I432" s="409"/>
      <c r="J432" s="410" t="s">
        <v>875</v>
      </c>
    </row>
    <row r="433" spans="1:13" x14ac:dyDescent="0.25">
      <c r="A433" s="539"/>
      <c r="B433" s="540"/>
      <c r="C433" s="539"/>
      <c r="D433" s="409"/>
      <c r="E433" s="409"/>
      <c r="F433" s="539"/>
      <c r="G433" s="539"/>
      <c r="H433" s="409" t="s">
        <v>876</v>
      </c>
      <c r="I433" s="409"/>
      <c r="J433" s="409" t="s">
        <v>877</v>
      </c>
    </row>
    <row r="434" spans="1:13" ht="37.5" customHeight="1" x14ac:dyDescent="0.25">
      <c r="A434" s="539"/>
      <c r="B434" s="540" t="s">
        <v>146</v>
      </c>
      <c r="C434" s="539"/>
      <c r="D434" s="409"/>
      <c r="E434" s="409"/>
      <c r="F434" s="539" t="s">
        <v>850</v>
      </c>
      <c r="G434" s="539" t="s">
        <v>852</v>
      </c>
      <c r="H434" s="410" t="s">
        <v>851</v>
      </c>
      <c r="I434" s="409"/>
      <c r="J434" s="410" t="s">
        <v>853</v>
      </c>
    </row>
    <row r="435" spans="1:13" x14ac:dyDescent="0.25">
      <c r="A435" s="539"/>
      <c r="B435" s="540"/>
      <c r="C435" s="539"/>
      <c r="D435" s="409"/>
      <c r="E435" s="409"/>
      <c r="F435" s="539"/>
      <c r="G435" s="539"/>
      <c r="H435" s="409" t="s">
        <v>854</v>
      </c>
      <c r="I435" s="409"/>
      <c r="J435" s="418">
        <v>9.8699999999999992</v>
      </c>
    </row>
    <row r="436" spans="1:13" ht="22.5" x14ac:dyDescent="0.25">
      <c r="A436" s="409"/>
      <c r="B436" s="411" t="s">
        <v>1077</v>
      </c>
      <c r="C436" s="409"/>
      <c r="D436" s="409"/>
      <c r="E436" s="409"/>
      <c r="F436" s="409" t="s">
        <v>878</v>
      </c>
      <c r="G436" s="409"/>
      <c r="H436" s="409"/>
      <c r="I436" s="409"/>
      <c r="J436" s="409"/>
    </row>
    <row r="437" spans="1:13" ht="22.5" x14ac:dyDescent="0.25">
      <c r="A437" s="409"/>
      <c r="B437" s="411" t="s">
        <v>1078</v>
      </c>
      <c r="C437" s="409"/>
      <c r="D437" s="409"/>
      <c r="E437" s="409"/>
      <c r="F437" s="409" t="s">
        <v>879</v>
      </c>
      <c r="G437" s="409"/>
      <c r="H437" s="409"/>
      <c r="I437" s="409"/>
      <c r="J437" s="409"/>
    </row>
    <row r="438" spans="1:13" ht="22.5" x14ac:dyDescent="0.25">
      <c r="A438" s="409"/>
      <c r="B438" s="411" t="s">
        <v>147</v>
      </c>
      <c r="C438" s="409"/>
      <c r="D438" s="409"/>
      <c r="E438" s="409"/>
      <c r="F438" s="425">
        <v>50507.01</v>
      </c>
      <c r="G438" s="409"/>
      <c r="H438" s="409"/>
      <c r="I438" s="409"/>
      <c r="J438" s="409"/>
      <c r="M438" s="393">
        <f>F438</f>
        <v>50507.01</v>
      </c>
    </row>
    <row r="439" spans="1:13" ht="42" customHeight="1" x14ac:dyDescent="0.25">
      <c r="A439" s="539"/>
      <c r="B439" s="540" t="s">
        <v>112</v>
      </c>
      <c r="C439" s="539"/>
      <c r="D439" s="409"/>
      <c r="E439" s="409"/>
      <c r="F439" s="539" t="s">
        <v>880</v>
      </c>
      <c r="G439" s="539" t="s">
        <v>881</v>
      </c>
      <c r="H439" s="410" t="s">
        <v>882</v>
      </c>
      <c r="I439" s="409"/>
      <c r="J439" s="410" t="s">
        <v>883</v>
      </c>
    </row>
    <row r="440" spans="1:13" x14ac:dyDescent="0.25">
      <c r="A440" s="539"/>
      <c r="B440" s="540"/>
      <c r="C440" s="539"/>
      <c r="D440" s="409"/>
      <c r="E440" s="409"/>
      <c r="F440" s="539"/>
      <c r="G440" s="539"/>
      <c r="H440" s="409" t="s">
        <v>884</v>
      </c>
      <c r="I440" s="409"/>
      <c r="J440" s="409" t="s">
        <v>885</v>
      </c>
    </row>
    <row r="441" spans="1:13" ht="54" x14ac:dyDescent="0.25">
      <c r="A441" s="409"/>
      <c r="B441" s="411" t="s">
        <v>1079</v>
      </c>
      <c r="C441" s="409"/>
      <c r="D441" s="409"/>
      <c r="E441" s="409"/>
      <c r="F441" s="409" t="s">
        <v>886</v>
      </c>
      <c r="G441" s="409"/>
      <c r="H441" s="409"/>
      <c r="I441" s="409"/>
      <c r="J441" s="409"/>
    </row>
    <row r="442" spans="1:13" ht="54" x14ac:dyDescent="0.25">
      <c r="A442" s="409"/>
      <c r="B442" s="411" t="s">
        <v>1080</v>
      </c>
      <c r="C442" s="409"/>
      <c r="D442" s="409"/>
      <c r="E442" s="409"/>
      <c r="F442" s="409" t="s">
        <v>887</v>
      </c>
      <c r="G442" s="409"/>
      <c r="H442" s="409"/>
      <c r="I442" s="409"/>
      <c r="J442" s="409"/>
    </row>
    <row r="443" spans="1:13" ht="33" x14ac:dyDescent="0.25">
      <c r="A443" s="409"/>
      <c r="B443" s="411" t="s">
        <v>113</v>
      </c>
      <c r="C443" s="409"/>
      <c r="D443" s="409"/>
      <c r="E443" s="409"/>
      <c r="F443" s="424">
        <v>122208.26</v>
      </c>
      <c r="G443" s="409"/>
      <c r="H443" s="409"/>
      <c r="I443" s="409"/>
      <c r="J443" s="409"/>
      <c r="M443" s="258">
        <f>F443</f>
        <v>122208.26</v>
      </c>
    </row>
    <row r="444" spans="1:13" ht="33" x14ac:dyDescent="0.25">
      <c r="A444" s="409"/>
      <c r="B444" s="411" t="s">
        <v>154</v>
      </c>
      <c r="C444" s="409"/>
      <c r="D444" s="409"/>
      <c r="E444" s="409"/>
      <c r="F444" s="409" t="s">
        <v>888</v>
      </c>
      <c r="G444" s="409" t="s">
        <v>888</v>
      </c>
      <c r="H444" s="409"/>
      <c r="I444" s="409"/>
      <c r="J444" s="409" t="s">
        <v>889</v>
      </c>
    </row>
    <row r="445" spans="1:13" ht="22.5" x14ac:dyDescent="0.25">
      <c r="A445" s="409"/>
      <c r="B445" s="411" t="s">
        <v>1081</v>
      </c>
      <c r="C445" s="409"/>
      <c r="D445" s="409"/>
      <c r="E445" s="409"/>
      <c r="F445" s="409" t="s">
        <v>890</v>
      </c>
      <c r="G445" s="409"/>
      <c r="H445" s="409"/>
      <c r="I445" s="409"/>
      <c r="J445" s="409"/>
    </row>
    <row r="446" spans="1:13" ht="22.5" x14ac:dyDescent="0.25">
      <c r="A446" s="409"/>
      <c r="B446" s="411" t="s">
        <v>1082</v>
      </c>
      <c r="C446" s="409"/>
      <c r="D446" s="409"/>
      <c r="E446" s="409"/>
      <c r="F446" s="409" t="s">
        <v>891</v>
      </c>
      <c r="G446" s="409"/>
      <c r="H446" s="409"/>
      <c r="I446" s="409"/>
      <c r="J446" s="409"/>
    </row>
    <row r="447" spans="1:13" ht="33" x14ac:dyDescent="0.25">
      <c r="A447" s="409"/>
      <c r="B447" s="411" t="s">
        <v>155</v>
      </c>
      <c r="C447" s="409"/>
      <c r="D447" s="409"/>
      <c r="E447" s="409"/>
      <c r="F447" s="424">
        <v>13007.78</v>
      </c>
      <c r="G447" s="409"/>
      <c r="H447" s="409"/>
      <c r="I447" s="409"/>
      <c r="J447" s="409"/>
      <c r="M447" s="393">
        <f>F447</f>
        <v>13007.78</v>
      </c>
    </row>
    <row r="448" spans="1:13" x14ac:dyDescent="0.25">
      <c r="A448" s="409"/>
      <c r="B448" s="411" t="s">
        <v>331</v>
      </c>
      <c r="C448" s="409"/>
      <c r="D448" s="409"/>
      <c r="E448" s="409"/>
      <c r="F448" s="409" t="s">
        <v>892</v>
      </c>
      <c r="G448" s="409"/>
      <c r="H448" s="409"/>
      <c r="I448" s="409"/>
      <c r="J448" s="409"/>
    </row>
    <row r="449" spans="1:10" x14ac:dyDescent="0.25">
      <c r="A449" s="409"/>
      <c r="B449" s="411" t="s">
        <v>240</v>
      </c>
      <c r="C449" s="409"/>
      <c r="D449" s="409"/>
      <c r="E449" s="409"/>
      <c r="F449" s="409"/>
      <c r="G449" s="409"/>
      <c r="H449" s="409"/>
      <c r="I449" s="409"/>
      <c r="J449" s="409"/>
    </row>
    <row r="450" spans="1:10" x14ac:dyDescent="0.25">
      <c r="A450" s="409"/>
      <c r="B450" s="411" t="s">
        <v>241</v>
      </c>
      <c r="C450" s="409"/>
      <c r="D450" s="409"/>
      <c r="E450" s="409"/>
      <c r="F450" s="409" t="s">
        <v>893</v>
      </c>
      <c r="G450" s="409"/>
      <c r="H450" s="409"/>
      <c r="I450" s="409"/>
      <c r="J450" s="409"/>
    </row>
    <row r="451" spans="1:10" x14ac:dyDescent="0.25">
      <c r="A451" s="409"/>
      <c r="B451" s="411" t="s">
        <v>242</v>
      </c>
      <c r="C451" s="409"/>
      <c r="D451" s="409"/>
      <c r="E451" s="409"/>
      <c r="F451" s="409" t="s">
        <v>873</v>
      </c>
      <c r="G451" s="409"/>
      <c r="H451" s="409"/>
      <c r="I451" s="409"/>
      <c r="J451" s="409"/>
    </row>
    <row r="452" spans="1:10" x14ac:dyDescent="0.25">
      <c r="A452" s="409"/>
      <c r="B452" s="411" t="s">
        <v>243</v>
      </c>
      <c r="C452" s="409"/>
      <c r="D452" s="409"/>
      <c r="E452" s="409"/>
      <c r="F452" s="409" t="s">
        <v>874</v>
      </c>
      <c r="G452" s="409"/>
      <c r="H452" s="409"/>
      <c r="I452" s="409"/>
      <c r="J452" s="409"/>
    </row>
    <row r="453" spans="1:10" ht="22.5" x14ac:dyDescent="0.25">
      <c r="A453" s="409"/>
      <c r="B453" s="411" t="s">
        <v>244</v>
      </c>
      <c r="C453" s="409"/>
      <c r="D453" s="409"/>
      <c r="E453" s="409"/>
      <c r="F453" s="409" t="s">
        <v>876</v>
      </c>
      <c r="G453" s="409"/>
      <c r="H453" s="409"/>
      <c r="I453" s="409"/>
      <c r="J453" s="409"/>
    </row>
    <row r="454" spans="1:10" x14ac:dyDescent="0.25">
      <c r="A454" s="409"/>
      <c r="B454" s="411" t="s">
        <v>245</v>
      </c>
      <c r="C454" s="409"/>
      <c r="D454" s="409"/>
      <c r="E454" s="409"/>
      <c r="F454" s="409" t="s">
        <v>894</v>
      </c>
      <c r="G454" s="409"/>
      <c r="H454" s="409"/>
      <c r="I454" s="409"/>
      <c r="J454" s="409"/>
    </row>
    <row r="455" spans="1:10" x14ac:dyDescent="0.25">
      <c r="A455" s="409"/>
      <c r="B455" s="411" t="s">
        <v>246</v>
      </c>
      <c r="C455" s="409"/>
      <c r="D455" s="409"/>
      <c r="E455" s="409"/>
      <c r="F455" s="409" t="s">
        <v>895</v>
      </c>
      <c r="G455" s="409"/>
      <c r="H455" s="409"/>
      <c r="I455" s="409"/>
      <c r="J455" s="409"/>
    </row>
    <row r="456" spans="1:10" x14ac:dyDescent="0.25">
      <c r="A456" s="409"/>
      <c r="B456" s="411" t="s">
        <v>247</v>
      </c>
      <c r="C456" s="409">
        <v>20</v>
      </c>
      <c r="D456" s="409"/>
      <c r="E456" s="409"/>
      <c r="F456" s="409" t="s">
        <v>896</v>
      </c>
      <c r="G456" s="409"/>
      <c r="H456" s="409"/>
      <c r="I456" s="409"/>
      <c r="J456" s="409"/>
    </row>
    <row r="457" spans="1:10" ht="22.5" x14ac:dyDescent="0.25">
      <c r="A457" s="409"/>
      <c r="B457" s="411" t="s">
        <v>332</v>
      </c>
      <c r="C457" s="409"/>
      <c r="D457" s="409"/>
      <c r="E457" s="409"/>
      <c r="F457" s="409" t="s">
        <v>897</v>
      </c>
      <c r="G457" s="409"/>
      <c r="H457" s="409"/>
      <c r="I457" s="409"/>
      <c r="J457" s="409"/>
    </row>
    <row r="458" spans="1:10" x14ac:dyDescent="0.25">
      <c r="A458" s="536"/>
      <c r="B458" s="536"/>
      <c r="C458" s="536"/>
      <c r="D458" s="536"/>
      <c r="E458" s="536"/>
      <c r="F458" s="536"/>
      <c r="G458" s="536"/>
      <c r="H458" s="536"/>
      <c r="I458" s="536"/>
      <c r="J458" s="536"/>
    </row>
    <row r="459" spans="1:10" x14ac:dyDescent="0.25">
      <c r="A459" s="406"/>
      <c r="B459" s="541" t="s">
        <v>1048</v>
      </c>
      <c r="C459" s="541"/>
      <c r="D459" s="541"/>
      <c r="E459" s="541"/>
      <c r="F459" s="541"/>
      <c r="G459" s="541"/>
      <c r="H459" s="541"/>
      <c r="I459" s="541"/>
      <c r="J459" s="541"/>
    </row>
    <row r="460" spans="1:10" x14ac:dyDescent="0.25">
      <c r="A460" s="536"/>
      <c r="B460" s="536"/>
      <c r="C460" s="536"/>
      <c r="D460" s="536"/>
      <c r="E460" s="536"/>
      <c r="F460" s="536"/>
      <c r="G460" s="536"/>
      <c r="H460" s="536"/>
      <c r="I460" s="536"/>
      <c r="J460" s="536"/>
    </row>
    <row r="461" spans="1:10" ht="22.5" x14ac:dyDescent="0.25">
      <c r="A461" s="535" t="s">
        <v>315</v>
      </c>
      <c r="B461" s="406" t="s">
        <v>898</v>
      </c>
      <c r="C461" s="535">
        <v>1</v>
      </c>
      <c r="D461" s="408" t="s">
        <v>1049</v>
      </c>
      <c r="E461" s="407"/>
      <c r="F461" s="535" t="s">
        <v>1049</v>
      </c>
      <c r="G461" s="535"/>
      <c r="H461" s="407"/>
      <c r="I461" s="407"/>
      <c r="J461" s="407"/>
    </row>
    <row r="462" spans="1:10" ht="22.5" x14ac:dyDescent="0.25">
      <c r="A462" s="535"/>
      <c r="B462" s="406" t="s">
        <v>899</v>
      </c>
      <c r="C462" s="535"/>
      <c r="D462" s="407"/>
      <c r="E462" s="407"/>
      <c r="F462" s="535"/>
      <c r="G462" s="535"/>
      <c r="H462" s="407"/>
      <c r="I462" s="407"/>
      <c r="J462" s="407"/>
    </row>
    <row r="463" spans="1:10" x14ac:dyDescent="0.25">
      <c r="A463" s="536"/>
      <c r="B463" s="536"/>
      <c r="C463" s="536"/>
      <c r="D463" s="536"/>
      <c r="E463" s="536"/>
      <c r="F463" s="536"/>
      <c r="G463" s="536"/>
      <c r="H463" s="536"/>
      <c r="I463" s="536"/>
      <c r="J463" s="536"/>
    </row>
    <row r="464" spans="1:10" x14ac:dyDescent="0.25">
      <c r="A464" s="535" t="s">
        <v>317</v>
      </c>
      <c r="B464" s="406" t="s">
        <v>900</v>
      </c>
      <c r="C464" s="535">
        <v>18</v>
      </c>
      <c r="D464" s="408" t="s">
        <v>902</v>
      </c>
      <c r="E464" s="407"/>
      <c r="F464" s="535" t="s">
        <v>903</v>
      </c>
      <c r="G464" s="535"/>
      <c r="H464" s="407"/>
      <c r="I464" s="407"/>
      <c r="J464" s="407"/>
    </row>
    <row r="465" spans="1:10" ht="22.5" x14ac:dyDescent="0.25">
      <c r="A465" s="535"/>
      <c r="B465" s="406" t="s">
        <v>901</v>
      </c>
      <c r="C465" s="535"/>
      <c r="D465" s="407"/>
      <c r="E465" s="407"/>
      <c r="F465" s="535"/>
      <c r="G465" s="535"/>
      <c r="H465" s="407"/>
      <c r="I465" s="407"/>
      <c r="J465" s="407"/>
    </row>
    <row r="466" spans="1:10" x14ac:dyDescent="0.25">
      <c r="A466" s="536"/>
      <c r="B466" s="536"/>
      <c r="C466" s="536"/>
      <c r="D466" s="536"/>
      <c r="E466" s="536"/>
      <c r="F466" s="536"/>
      <c r="G466" s="536"/>
      <c r="H466" s="536"/>
      <c r="I466" s="536"/>
      <c r="J466" s="536"/>
    </row>
    <row r="467" spans="1:10" x14ac:dyDescent="0.25">
      <c r="A467" s="535" t="s">
        <v>319</v>
      </c>
      <c r="B467" s="406" t="s">
        <v>905</v>
      </c>
      <c r="C467" s="535">
        <v>8</v>
      </c>
      <c r="D467" s="408" t="s">
        <v>907</v>
      </c>
      <c r="E467" s="407"/>
      <c r="F467" s="535" t="s">
        <v>908</v>
      </c>
      <c r="G467" s="535"/>
      <c r="H467" s="407"/>
      <c r="I467" s="407"/>
      <c r="J467" s="407"/>
    </row>
    <row r="468" spans="1:10" x14ac:dyDescent="0.25">
      <c r="A468" s="535"/>
      <c r="B468" s="406" t="s">
        <v>906</v>
      </c>
      <c r="C468" s="535"/>
      <c r="D468" s="407"/>
      <c r="E468" s="407"/>
      <c r="F468" s="535"/>
      <c r="G468" s="535"/>
      <c r="H468" s="407"/>
      <c r="I468" s="407"/>
      <c r="J468" s="407"/>
    </row>
    <row r="469" spans="1:10" x14ac:dyDescent="0.25">
      <c r="A469" s="536"/>
      <c r="B469" s="536"/>
      <c r="C469" s="536"/>
      <c r="D469" s="536"/>
      <c r="E469" s="536"/>
      <c r="F469" s="536"/>
      <c r="G469" s="536"/>
      <c r="H469" s="536"/>
      <c r="I469" s="536"/>
      <c r="J469" s="536"/>
    </row>
    <row r="470" spans="1:10" x14ac:dyDescent="0.25">
      <c r="A470" s="535" t="s">
        <v>904</v>
      </c>
      <c r="B470" s="406" t="s">
        <v>909</v>
      </c>
      <c r="C470" s="535">
        <v>20</v>
      </c>
      <c r="D470" s="408" t="s">
        <v>911</v>
      </c>
      <c r="E470" s="407"/>
      <c r="F470" s="535" t="s">
        <v>912</v>
      </c>
      <c r="G470" s="535"/>
      <c r="H470" s="407"/>
      <c r="I470" s="407"/>
      <c r="J470" s="407"/>
    </row>
    <row r="471" spans="1:10" x14ac:dyDescent="0.25">
      <c r="A471" s="535"/>
      <c r="B471" s="406" t="s">
        <v>910</v>
      </c>
      <c r="C471" s="535"/>
      <c r="D471" s="407"/>
      <c r="E471" s="407"/>
      <c r="F471" s="535"/>
      <c r="G471" s="535"/>
      <c r="H471" s="407"/>
      <c r="I471" s="407"/>
      <c r="J471" s="407"/>
    </row>
    <row r="472" spans="1:10" x14ac:dyDescent="0.25">
      <c r="A472" s="536"/>
      <c r="B472" s="536"/>
      <c r="C472" s="536"/>
      <c r="D472" s="536"/>
      <c r="E472" s="536"/>
      <c r="F472" s="536"/>
      <c r="G472" s="536"/>
      <c r="H472" s="536"/>
      <c r="I472" s="536"/>
      <c r="J472" s="536"/>
    </row>
    <row r="473" spans="1:10" x14ac:dyDescent="0.25">
      <c r="A473" s="535" t="s">
        <v>321</v>
      </c>
      <c r="B473" s="406" t="s">
        <v>913</v>
      </c>
      <c r="C473" s="535">
        <v>8</v>
      </c>
      <c r="D473" s="408" t="s">
        <v>914</v>
      </c>
      <c r="E473" s="407"/>
      <c r="F473" s="535" t="s">
        <v>915</v>
      </c>
      <c r="G473" s="535"/>
      <c r="H473" s="407"/>
      <c r="I473" s="407"/>
      <c r="J473" s="407"/>
    </row>
    <row r="474" spans="1:10" x14ac:dyDescent="0.25">
      <c r="A474" s="535"/>
      <c r="B474" s="406" t="s">
        <v>906</v>
      </c>
      <c r="C474" s="535"/>
      <c r="D474" s="407"/>
      <c r="E474" s="407"/>
      <c r="F474" s="535"/>
      <c r="G474" s="535"/>
      <c r="H474" s="407"/>
      <c r="I474" s="407"/>
      <c r="J474" s="407"/>
    </row>
    <row r="475" spans="1:10" x14ac:dyDescent="0.25">
      <c r="A475" s="536"/>
      <c r="B475" s="536"/>
      <c r="C475" s="536"/>
      <c r="D475" s="536"/>
      <c r="E475" s="536"/>
      <c r="F475" s="536"/>
      <c r="G475" s="536"/>
      <c r="H475" s="536"/>
      <c r="I475" s="536"/>
      <c r="J475" s="536"/>
    </row>
    <row r="476" spans="1:10" x14ac:dyDescent="0.25">
      <c r="A476" s="535" t="s">
        <v>322</v>
      </c>
      <c r="B476" s="406" t="s">
        <v>916</v>
      </c>
      <c r="C476" s="544">
        <v>2.5</v>
      </c>
      <c r="D476" s="408" t="s">
        <v>918</v>
      </c>
      <c r="E476" s="407"/>
      <c r="F476" s="535" t="s">
        <v>919</v>
      </c>
      <c r="G476" s="535"/>
      <c r="H476" s="407"/>
      <c r="I476" s="407"/>
      <c r="J476" s="407"/>
    </row>
    <row r="477" spans="1:10" ht="22.5" x14ac:dyDescent="0.25">
      <c r="A477" s="535"/>
      <c r="B477" s="406" t="s">
        <v>917</v>
      </c>
      <c r="C477" s="544"/>
      <c r="D477" s="407"/>
      <c r="E477" s="407"/>
      <c r="F477" s="535"/>
      <c r="G477" s="535"/>
      <c r="H477" s="407"/>
      <c r="I477" s="407"/>
      <c r="J477" s="407"/>
    </row>
    <row r="478" spans="1:10" x14ac:dyDescent="0.25">
      <c r="A478" s="536"/>
      <c r="B478" s="536"/>
      <c r="C478" s="536"/>
      <c r="D478" s="536"/>
      <c r="E478" s="536"/>
      <c r="F478" s="536"/>
      <c r="G478" s="536"/>
      <c r="H478" s="536"/>
      <c r="I478" s="536"/>
      <c r="J478" s="536"/>
    </row>
    <row r="479" spans="1:10" x14ac:dyDescent="0.25">
      <c r="A479" s="535" t="s">
        <v>323</v>
      </c>
      <c r="B479" s="406" t="s">
        <v>920</v>
      </c>
      <c r="C479" s="535">
        <v>48</v>
      </c>
      <c r="D479" s="408" t="s">
        <v>922</v>
      </c>
      <c r="E479" s="407"/>
      <c r="F479" s="535" t="s">
        <v>923</v>
      </c>
      <c r="G479" s="535"/>
      <c r="H479" s="407"/>
      <c r="I479" s="407"/>
      <c r="J479" s="407"/>
    </row>
    <row r="480" spans="1:10" x14ac:dyDescent="0.25">
      <c r="A480" s="535"/>
      <c r="B480" s="406" t="s">
        <v>921</v>
      </c>
      <c r="C480" s="535"/>
      <c r="D480" s="407"/>
      <c r="E480" s="407"/>
      <c r="F480" s="535"/>
      <c r="G480" s="535"/>
      <c r="H480" s="407"/>
      <c r="I480" s="407"/>
      <c r="J480" s="407"/>
    </row>
    <row r="481" spans="1:16" x14ac:dyDescent="0.25">
      <c r="A481" s="536"/>
      <c r="B481" s="536"/>
      <c r="C481" s="536"/>
      <c r="D481" s="536"/>
      <c r="E481" s="536"/>
      <c r="F481" s="536"/>
      <c r="G481" s="536"/>
      <c r="H481" s="536"/>
      <c r="I481" s="536"/>
      <c r="J481" s="536"/>
    </row>
    <row r="482" spans="1:16" x14ac:dyDescent="0.25">
      <c r="A482" s="535" t="s">
        <v>324</v>
      </c>
      <c r="B482" s="406" t="s">
        <v>924</v>
      </c>
      <c r="C482" s="535">
        <v>40</v>
      </c>
      <c r="D482" s="408" t="s">
        <v>926</v>
      </c>
      <c r="E482" s="407"/>
      <c r="F482" s="535" t="s">
        <v>927</v>
      </c>
      <c r="G482" s="535"/>
      <c r="H482" s="407"/>
      <c r="I482" s="407"/>
      <c r="J482" s="407"/>
    </row>
    <row r="483" spans="1:16" x14ac:dyDescent="0.25">
      <c r="A483" s="535"/>
      <c r="B483" s="406" t="s">
        <v>925</v>
      </c>
      <c r="C483" s="535"/>
      <c r="D483" s="407"/>
      <c r="E483" s="407"/>
      <c r="F483" s="535"/>
      <c r="G483" s="535"/>
      <c r="H483" s="407"/>
      <c r="I483" s="407"/>
      <c r="J483" s="407"/>
    </row>
    <row r="484" spans="1:16" x14ac:dyDescent="0.25">
      <c r="A484" s="536"/>
      <c r="B484" s="536"/>
      <c r="C484" s="536"/>
      <c r="D484" s="536"/>
      <c r="E484" s="536"/>
      <c r="F484" s="536"/>
      <c r="G484" s="536"/>
      <c r="H484" s="536"/>
      <c r="I484" s="536"/>
      <c r="J484" s="536"/>
    </row>
    <row r="485" spans="1:16" x14ac:dyDescent="0.25">
      <c r="A485" s="409"/>
      <c r="B485" s="411" t="s">
        <v>334</v>
      </c>
      <c r="C485" s="409"/>
      <c r="D485" s="409"/>
      <c r="E485" s="409"/>
      <c r="F485" s="409" t="s">
        <v>1050</v>
      </c>
      <c r="G485" s="409"/>
      <c r="H485" s="409"/>
      <c r="I485" s="409"/>
      <c r="J485" s="409"/>
    </row>
    <row r="486" spans="1:16" ht="33" x14ac:dyDescent="0.25">
      <c r="A486" s="409"/>
      <c r="B486" s="411" t="s">
        <v>112</v>
      </c>
      <c r="C486" s="409"/>
      <c r="D486" s="409"/>
      <c r="E486" s="409"/>
      <c r="F486" s="424">
        <v>1476440.96</v>
      </c>
      <c r="G486" s="409"/>
      <c r="H486" s="409"/>
      <c r="I486" s="409"/>
      <c r="J486" s="409"/>
      <c r="M486" s="393">
        <f>F486-M487</f>
        <v>53440.959999999963</v>
      </c>
    </row>
    <row r="487" spans="1:16" ht="33" x14ac:dyDescent="0.25">
      <c r="A487" s="409"/>
      <c r="B487" s="411" t="s">
        <v>113</v>
      </c>
      <c r="C487" s="409"/>
      <c r="D487" s="409"/>
      <c r="E487" s="409"/>
      <c r="F487" s="409" t="s">
        <v>1050</v>
      </c>
      <c r="G487" s="409"/>
      <c r="H487" s="409"/>
      <c r="I487" s="409"/>
      <c r="J487" s="409"/>
      <c r="M487">
        <v>1423000</v>
      </c>
      <c r="P487" s="252">
        <f>M486+M447+M443+M438+M339+M334+J235</f>
        <v>2852478.9299999997</v>
      </c>
    </row>
    <row r="488" spans="1:16" x14ac:dyDescent="0.25">
      <c r="A488" s="409"/>
      <c r="B488" s="411" t="s">
        <v>335</v>
      </c>
      <c r="C488" s="409"/>
      <c r="D488" s="409"/>
      <c r="E488" s="409"/>
      <c r="F488" s="409" t="s">
        <v>1050</v>
      </c>
      <c r="G488" s="409"/>
      <c r="H488" s="409"/>
      <c r="I488" s="409"/>
      <c r="J488" s="409"/>
    </row>
    <row r="489" spans="1:16" x14ac:dyDescent="0.25">
      <c r="A489" s="409"/>
      <c r="B489" s="411" t="s">
        <v>240</v>
      </c>
      <c r="C489" s="409"/>
      <c r="D489" s="409"/>
      <c r="E489" s="409"/>
      <c r="F489" s="409"/>
      <c r="G489" s="409"/>
      <c r="H489" s="409"/>
      <c r="I489" s="409"/>
      <c r="J489" s="409"/>
    </row>
    <row r="490" spans="1:16" x14ac:dyDescent="0.25">
      <c r="A490" s="409"/>
      <c r="B490" s="411" t="s">
        <v>241</v>
      </c>
      <c r="C490" s="409"/>
      <c r="D490" s="409"/>
      <c r="E490" s="409"/>
      <c r="F490" s="409" t="s">
        <v>1050</v>
      </c>
      <c r="G490" s="409"/>
      <c r="H490" s="409"/>
      <c r="I490" s="409"/>
      <c r="J490" s="409"/>
    </row>
    <row r="491" spans="1:16" x14ac:dyDescent="0.25">
      <c r="A491" s="409"/>
      <c r="B491" s="411" t="s">
        <v>247</v>
      </c>
      <c r="C491" s="409">
        <v>20</v>
      </c>
      <c r="D491" s="409"/>
      <c r="E491" s="409"/>
      <c r="F491" s="409" t="s">
        <v>1051</v>
      </c>
      <c r="G491" s="409"/>
      <c r="H491" s="409"/>
      <c r="I491" s="409"/>
      <c r="J491" s="409"/>
    </row>
    <row r="492" spans="1:16" ht="22.5" x14ac:dyDescent="0.25">
      <c r="A492" s="409"/>
      <c r="B492" s="411" t="s">
        <v>336</v>
      </c>
      <c r="C492" s="409"/>
      <c r="D492" s="409"/>
      <c r="E492" s="409"/>
      <c r="F492" s="409" t="s">
        <v>1052</v>
      </c>
      <c r="G492" s="409"/>
      <c r="H492" s="409"/>
      <c r="I492" s="409"/>
      <c r="J492" s="409"/>
    </row>
    <row r="493" spans="1:16" x14ac:dyDescent="0.25">
      <c r="A493" s="536"/>
      <c r="B493" s="536"/>
      <c r="C493" s="536"/>
      <c r="D493" s="536"/>
      <c r="E493" s="536"/>
      <c r="F493" s="536"/>
      <c r="G493" s="536"/>
      <c r="H493" s="536"/>
      <c r="I493" s="536"/>
      <c r="J493" s="536"/>
    </row>
    <row r="494" spans="1:16" ht="21" customHeight="1" x14ac:dyDescent="0.25">
      <c r="A494" s="539"/>
      <c r="B494" s="540" t="s">
        <v>190</v>
      </c>
      <c r="C494" s="539"/>
      <c r="D494" s="409"/>
      <c r="E494" s="409"/>
      <c r="F494" s="539" t="s">
        <v>1084</v>
      </c>
      <c r="G494" s="539" t="s">
        <v>1085</v>
      </c>
      <c r="H494" s="410" t="s">
        <v>1053</v>
      </c>
      <c r="I494" s="409"/>
      <c r="J494" s="410" t="s">
        <v>1086</v>
      </c>
    </row>
    <row r="495" spans="1:16" x14ac:dyDescent="0.25">
      <c r="A495" s="539"/>
      <c r="B495" s="540"/>
      <c r="C495" s="539"/>
      <c r="D495" s="409"/>
      <c r="E495" s="409"/>
      <c r="F495" s="539"/>
      <c r="G495" s="539"/>
      <c r="H495" s="409" t="s">
        <v>996</v>
      </c>
      <c r="I495" s="409"/>
      <c r="J495" s="409" t="s">
        <v>997</v>
      </c>
    </row>
    <row r="496" spans="1:16" ht="31.5" customHeight="1" x14ac:dyDescent="0.25">
      <c r="A496" s="539"/>
      <c r="B496" s="540" t="s">
        <v>146</v>
      </c>
      <c r="C496" s="539"/>
      <c r="D496" s="409"/>
      <c r="E496" s="409"/>
      <c r="F496" s="539" t="s">
        <v>998</v>
      </c>
      <c r="G496" s="539" t="s">
        <v>999</v>
      </c>
      <c r="H496" s="410" t="s">
        <v>1000</v>
      </c>
      <c r="I496" s="409"/>
      <c r="J496" s="410" t="s">
        <v>1001</v>
      </c>
    </row>
    <row r="497" spans="1:10" x14ac:dyDescent="0.25">
      <c r="A497" s="539"/>
      <c r="B497" s="540"/>
      <c r="C497" s="539"/>
      <c r="D497" s="409"/>
      <c r="E497" s="409"/>
      <c r="F497" s="539"/>
      <c r="G497" s="539"/>
      <c r="H497" s="409" t="s">
        <v>1002</v>
      </c>
      <c r="I497" s="409"/>
      <c r="J497" s="409" t="s">
        <v>1003</v>
      </c>
    </row>
    <row r="498" spans="1:10" ht="33" x14ac:dyDescent="0.25">
      <c r="A498" s="409"/>
      <c r="B498" s="411" t="s">
        <v>1087</v>
      </c>
      <c r="C498" s="409"/>
      <c r="D498" s="409"/>
      <c r="E498" s="409"/>
      <c r="F498" s="409" t="s">
        <v>1004</v>
      </c>
      <c r="G498" s="409"/>
      <c r="H498" s="409"/>
      <c r="I498" s="409"/>
      <c r="J498" s="409"/>
    </row>
    <row r="499" spans="1:10" ht="33" x14ac:dyDescent="0.25">
      <c r="A499" s="409"/>
      <c r="B499" s="411" t="s">
        <v>1088</v>
      </c>
      <c r="C499" s="409"/>
      <c r="D499" s="409"/>
      <c r="E499" s="409"/>
      <c r="F499" s="409" t="s">
        <v>1005</v>
      </c>
      <c r="G499" s="409"/>
      <c r="H499" s="409"/>
      <c r="I499" s="409"/>
      <c r="J499" s="409"/>
    </row>
    <row r="500" spans="1:10" ht="22.5" x14ac:dyDescent="0.25">
      <c r="A500" s="409"/>
      <c r="B500" s="411" t="s">
        <v>147</v>
      </c>
      <c r="C500" s="409"/>
      <c r="D500" s="409"/>
      <c r="E500" s="409"/>
      <c r="F500" s="409" t="s">
        <v>1006</v>
      </c>
      <c r="G500" s="409"/>
      <c r="H500" s="409"/>
      <c r="I500" s="409"/>
      <c r="J500" s="409"/>
    </row>
    <row r="501" spans="1:10" ht="42" customHeight="1" x14ac:dyDescent="0.25">
      <c r="A501" s="539"/>
      <c r="B501" s="540" t="s">
        <v>112</v>
      </c>
      <c r="C501" s="539"/>
      <c r="D501" s="409"/>
      <c r="E501" s="409"/>
      <c r="F501" s="539" t="s">
        <v>1054</v>
      </c>
      <c r="G501" s="539" t="s">
        <v>1007</v>
      </c>
      <c r="H501" s="410" t="s">
        <v>1055</v>
      </c>
      <c r="I501" s="409"/>
      <c r="J501" s="410" t="s">
        <v>1008</v>
      </c>
    </row>
    <row r="502" spans="1:10" x14ac:dyDescent="0.25">
      <c r="A502" s="539"/>
      <c r="B502" s="540"/>
      <c r="C502" s="539"/>
      <c r="D502" s="409"/>
      <c r="E502" s="409"/>
      <c r="F502" s="539"/>
      <c r="G502" s="539"/>
      <c r="H502" s="409" t="s">
        <v>1009</v>
      </c>
      <c r="I502" s="409"/>
      <c r="J502" s="409" t="s">
        <v>1010</v>
      </c>
    </row>
    <row r="503" spans="1:10" ht="85.5" x14ac:dyDescent="0.25">
      <c r="A503" s="409"/>
      <c r="B503" s="411" t="s">
        <v>1089</v>
      </c>
      <c r="C503" s="409"/>
      <c r="D503" s="409"/>
      <c r="E503" s="409"/>
      <c r="F503" s="409" t="s">
        <v>1011</v>
      </c>
      <c r="G503" s="409"/>
      <c r="H503" s="409"/>
      <c r="I503" s="409"/>
      <c r="J503" s="409"/>
    </row>
    <row r="504" spans="1:10" ht="75" x14ac:dyDescent="0.25">
      <c r="A504" s="409"/>
      <c r="B504" s="411" t="s">
        <v>1090</v>
      </c>
      <c r="C504" s="409"/>
      <c r="D504" s="409"/>
      <c r="E504" s="409"/>
      <c r="F504" s="409" t="s">
        <v>1012</v>
      </c>
      <c r="G504" s="409"/>
      <c r="H504" s="409"/>
      <c r="I504" s="409"/>
      <c r="J504" s="409"/>
    </row>
    <row r="505" spans="1:10" ht="33" x14ac:dyDescent="0.25">
      <c r="A505" s="409"/>
      <c r="B505" s="411" t="s">
        <v>113</v>
      </c>
      <c r="C505" s="409"/>
      <c r="D505" s="409"/>
      <c r="E505" s="409"/>
      <c r="F505" s="409" t="s">
        <v>1056</v>
      </c>
      <c r="G505" s="409"/>
      <c r="H505" s="409"/>
      <c r="I505" s="409"/>
      <c r="J505" s="409"/>
    </row>
    <row r="506" spans="1:10" ht="33" x14ac:dyDescent="0.25">
      <c r="A506" s="409"/>
      <c r="B506" s="411" t="s">
        <v>154</v>
      </c>
      <c r="C506" s="409"/>
      <c r="D506" s="409"/>
      <c r="E506" s="409"/>
      <c r="F506" s="409" t="s">
        <v>888</v>
      </c>
      <c r="G506" s="409" t="s">
        <v>888</v>
      </c>
      <c r="H506" s="409"/>
      <c r="I506" s="409"/>
      <c r="J506" s="409" t="s">
        <v>889</v>
      </c>
    </row>
    <row r="507" spans="1:10" ht="22.5" x14ac:dyDescent="0.25">
      <c r="A507" s="409"/>
      <c r="B507" s="411" t="s">
        <v>1081</v>
      </c>
      <c r="C507" s="409"/>
      <c r="D507" s="409"/>
      <c r="E507" s="409"/>
      <c r="F507" s="409" t="s">
        <v>890</v>
      </c>
      <c r="G507" s="409"/>
      <c r="H507" s="409"/>
      <c r="I507" s="409"/>
      <c r="J507" s="409"/>
    </row>
    <row r="508" spans="1:10" ht="22.5" x14ac:dyDescent="0.25">
      <c r="A508" s="409"/>
      <c r="B508" s="411" t="s">
        <v>1082</v>
      </c>
      <c r="C508" s="409"/>
      <c r="D508" s="409"/>
      <c r="E508" s="409"/>
      <c r="F508" s="409" t="s">
        <v>891</v>
      </c>
      <c r="G508" s="409"/>
      <c r="H508" s="409"/>
      <c r="I508" s="409"/>
      <c r="J508" s="409"/>
    </row>
    <row r="509" spans="1:10" ht="33" x14ac:dyDescent="0.25">
      <c r="A509" s="409"/>
      <c r="B509" s="411" t="s">
        <v>155</v>
      </c>
      <c r="C509" s="409"/>
      <c r="D509" s="409"/>
      <c r="E509" s="409"/>
      <c r="F509" s="409" t="s">
        <v>1083</v>
      </c>
      <c r="G509" s="409"/>
      <c r="H509" s="409"/>
      <c r="I509" s="409"/>
      <c r="J509" s="409"/>
    </row>
    <row r="510" spans="1:10" x14ac:dyDescent="0.25">
      <c r="A510" s="409"/>
      <c r="B510" s="411" t="s">
        <v>191</v>
      </c>
      <c r="C510" s="409"/>
      <c r="D510" s="409"/>
      <c r="E510" s="409"/>
      <c r="F510" s="409" t="s">
        <v>1091</v>
      </c>
      <c r="G510" s="409"/>
      <c r="H510" s="409"/>
      <c r="I510" s="409"/>
      <c r="J510" s="409"/>
    </row>
    <row r="511" spans="1:10" x14ac:dyDescent="0.25">
      <c r="A511" s="409"/>
      <c r="B511" s="411" t="s">
        <v>240</v>
      </c>
      <c r="C511" s="409"/>
      <c r="D511" s="409"/>
      <c r="E511" s="409"/>
      <c r="F511" s="409"/>
      <c r="G511" s="409"/>
      <c r="H511" s="409"/>
      <c r="I511" s="409"/>
      <c r="J511" s="409"/>
    </row>
    <row r="512" spans="1:10" x14ac:dyDescent="0.25">
      <c r="A512" s="409"/>
      <c r="B512" s="411" t="s">
        <v>241</v>
      </c>
      <c r="C512" s="409"/>
      <c r="D512" s="409"/>
      <c r="E512" s="409"/>
      <c r="F512" s="409" t="s">
        <v>1058</v>
      </c>
      <c r="G512" s="409"/>
      <c r="H512" s="409"/>
      <c r="I512" s="409"/>
      <c r="J512" s="409"/>
    </row>
    <row r="513" spans="1:10" x14ac:dyDescent="0.25">
      <c r="A513" s="409"/>
      <c r="B513" s="411" t="s">
        <v>242</v>
      </c>
      <c r="C513" s="409"/>
      <c r="D513" s="409"/>
      <c r="E513" s="409"/>
      <c r="F513" s="409" t="s">
        <v>1085</v>
      </c>
      <c r="G513" s="409"/>
      <c r="H513" s="409"/>
      <c r="I513" s="409"/>
      <c r="J513" s="409"/>
    </row>
    <row r="514" spans="1:10" x14ac:dyDescent="0.25">
      <c r="A514" s="409"/>
      <c r="B514" s="411" t="s">
        <v>243</v>
      </c>
      <c r="C514" s="409"/>
      <c r="D514" s="409"/>
      <c r="E514" s="409"/>
      <c r="F514" s="409" t="s">
        <v>1053</v>
      </c>
      <c r="G514" s="409"/>
      <c r="H514" s="409"/>
      <c r="I514" s="409"/>
      <c r="J514" s="409"/>
    </row>
    <row r="515" spans="1:10" ht="22.5" x14ac:dyDescent="0.25">
      <c r="A515" s="409"/>
      <c r="B515" s="411" t="s">
        <v>244</v>
      </c>
      <c r="C515" s="409"/>
      <c r="D515" s="409"/>
      <c r="E515" s="409"/>
      <c r="F515" s="409" t="s">
        <v>996</v>
      </c>
      <c r="G515" s="409"/>
      <c r="H515" s="409"/>
      <c r="I515" s="409"/>
      <c r="J515" s="409"/>
    </row>
    <row r="516" spans="1:10" x14ac:dyDescent="0.25">
      <c r="A516" s="409"/>
      <c r="B516" s="411" t="s">
        <v>245</v>
      </c>
      <c r="C516" s="409"/>
      <c r="D516" s="409"/>
      <c r="E516" s="409"/>
      <c r="F516" s="409" t="s">
        <v>1092</v>
      </c>
      <c r="G516" s="409"/>
      <c r="H516" s="409"/>
      <c r="I516" s="409"/>
      <c r="J516" s="409"/>
    </row>
    <row r="517" spans="1:10" x14ac:dyDescent="0.25">
      <c r="A517" s="409"/>
      <c r="B517" s="411" t="s">
        <v>246</v>
      </c>
      <c r="C517" s="409"/>
      <c r="D517" s="409"/>
      <c r="E517" s="409"/>
      <c r="F517" s="409" t="s">
        <v>1093</v>
      </c>
      <c r="G517" s="409"/>
      <c r="H517" s="409"/>
      <c r="I517" s="409"/>
      <c r="J517" s="409"/>
    </row>
    <row r="518" spans="1:10" x14ac:dyDescent="0.25">
      <c r="A518" s="409"/>
      <c r="B518" s="411" t="s">
        <v>247</v>
      </c>
      <c r="C518" s="409">
        <v>20</v>
      </c>
      <c r="D518" s="409"/>
      <c r="E518" s="409"/>
      <c r="F518" s="409" t="s">
        <v>1094</v>
      </c>
      <c r="G518" s="409"/>
      <c r="H518" s="409"/>
      <c r="I518" s="409"/>
      <c r="J518" s="409"/>
    </row>
    <row r="519" spans="1:10" x14ac:dyDescent="0.25">
      <c r="A519" s="409"/>
      <c r="B519" s="411" t="s">
        <v>337</v>
      </c>
      <c r="C519" s="409"/>
      <c r="D519" s="409"/>
      <c r="E519" s="409"/>
      <c r="F519" s="409" t="s">
        <v>1095</v>
      </c>
      <c r="G519" s="409"/>
      <c r="H519" s="409"/>
      <c r="I519" s="409"/>
      <c r="J519" s="409"/>
    </row>
    <row r="520" spans="1:10" x14ac:dyDescent="0.25">
      <c r="A520" s="412"/>
      <c r="B520" s="69"/>
      <c r="C520" s="69"/>
      <c r="D520" s="69"/>
      <c r="E520" s="69"/>
      <c r="F520" s="69"/>
      <c r="G520" s="69"/>
      <c r="H520" s="69"/>
      <c r="I520" s="69"/>
      <c r="J520" s="69"/>
    </row>
    <row r="521" spans="1:10" ht="23.25" thickBot="1" x14ac:dyDescent="0.3">
      <c r="A521" s="407" t="s">
        <v>192</v>
      </c>
      <c r="B521" s="413"/>
      <c r="C521" s="69"/>
      <c r="D521" s="69"/>
      <c r="E521" s="69"/>
      <c r="F521" s="69"/>
      <c r="G521" s="69"/>
      <c r="H521" s="69"/>
      <c r="I521" s="69"/>
      <c r="J521" s="69"/>
    </row>
    <row r="522" spans="1:10" x14ac:dyDescent="0.25">
      <c r="A522" s="406"/>
      <c r="B522" s="414" t="s">
        <v>193</v>
      </c>
      <c r="C522" s="69"/>
      <c r="D522" s="69"/>
      <c r="E522" s="69"/>
      <c r="F522" s="69"/>
      <c r="G522" s="69"/>
      <c r="H522" s="69"/>
      <c r="I522" s="69"/>
      <c r="J522" s="69"/>
    </row>
    <row r="523" spans="1:10" x14ac:dyDescent="0.25">
      <c r="A523" s="406"/>
      <c r="B523" s="406"/>
      <c r="C523" s="69"/>
      <c r="D523" s="69"/>
      <c r="E523" s="69"/>
      <c r="F523" s="69"/>
      <c r="G523" s="69"/>
      <c r="H523" s="69"/>
      <c r="I523" s="69"/>
      <c r="J523" s="69"/>
    </row>
    <row r="524" spans="1:10" ht="23.25" thickBot="1" x14ac:dyDescent="0.3">
      <c r="A524" s="407" t="s">
        <v>194</v>
      </c>
      <c r="B524" s="413"/>
      <c r="C524" s="69"/>
      <c r="D524" s="69"/>
      <c r="E524" s="69"/>
      <c r="F524" s="69"/>
      <c r="G524" s="69"/>
      <c r="H524" s="69"/>
      <c r="I524" s="69"/>
      <c r="J524" s="69"/>
    </row>
    <row r="525" spans="1:10" x14ac:dyDescent="0.25">
      <c r="A525" s="406"/>
      <c r="B525" s="414" t="s">
        <v>193</v>
      </c>
      <c r="C525" s="69"/>
      <c r="D525" s="69"/>
      <c r="E525" s="69"/>
      <c r="F525" s="69"/>
      <c r="G525" s="69"/>
      <c r="H525" s="69"/>
      <c r="I525" s="69"/>
      <c r="J525" s="69"/>
    </row>
    <row r="526" spans="1:10" x14ac:dyDescent="0.25">
      <c r="A526" s="241"/>
    </row>
  </sheetData>
  <mergeCells count="787">
    <mergeCell ref="A496:A497"/>
    <mergeCell ref="B496:B497"/>
    <mergeCell ref="C496:C497"/>
    <mergeCell ref="F496:F497"/>
    <mergeCell ref="G496:G497"/>
    <mergeCell ref="A501:A502"/>
    <mergeCell ref="B501:B502"/>
    <mergeCell ref="C501:C502"/>
    <mergeCell ref="F501:F502"/>
    <mergeCell ref="G501:G502"/>
    <mergeCell ref="A493:J493"/>
    <mergeCell ref="A494:A495"/>
    <mergeCell ref="B494:B495"/>
    <mergeCell ref="C494:C495"/>
    <mergeCell ref="F494:F495"/>
    <mergeCell ref="G494:G495"/>
    <mergeCell ref="A481:J481"/>
    <mergeCell ref="A482:A483"/>
    <mergeCell ref="C482:C483"/>
    <mergeCell ref="F482:F483"/>
    <mergeCell ref="G482:G483"/>
    <mergeCell ref="A484:J484"/>
    <mergeCell ref="A476:A477"/>
    <mergeCell ref="C476:C477"/>
    <mergeCell ref="F476:F477"/>
    <mergeCell ref="G476:G477"/>
    <mergeCell ref="A478:J478"/>
    <mergeCell ref="A479:A480"/>
    <mergeCell ref="C479:C480"/>
    <mergeCell ref="F479:F480"/>
    <mergeCell ref="G479:G480"/>
    <mergeCell ref="A473:A474"/>
    <mergeCell ref="C473:C474"/>
    <mergeCell ref="F473:F474"/>
    <mergeCell ref="G473:G474"/>
    <mergeCell ref="A475:J475"/>
    <mergeCell ref="A467:A468"/>
    <mergeCell ref="C467:C468"/>
    <mergeCell ref="F467:F468"/>
    <mergeCell ref="G467:G468"/>
    <mergeCell ref="A469:J469"/>
    <mergeCell ref="A470:A471"/>
    <mergeCell ref="C470:C471"/>
    <mergeCell ref="F470:F471"/>
    <mergeCell ref="G470:G471"/>
    <mergeCell ref="A466:J466"/>
    <mergeCell ref="A458:J458"/>
    <mergeCell ref="B459:J459"/>
    <mergeCell ref="A460:J460"/>
    <mergeCell ref="A461:A462"/>
    <mergeCell ref="C461:C462"/>
    <mergeCell ref="F461:F462"/>
    <mergeCell ref="G461:G462"/>
    <mergeCell ref="A472:J472"/>
    <mergeCell ref="A439:A440"/>
    <mergeCell ref="B439:B440"/>
    <mergeCell ref="C439:C440"/>
    <mergeCell ref="F439:F440"/>
    <mergeCell ref="G439:G440"/>
    <mergeCell ref="A463:J463"/>
    <mergeCell ref="A464:A465"/>
    <mergeCell ref="C464:C465"/>
    <mergeCell ref="F464:F465"/>
    <mergeCell ref="G464:G465"/>
    <mergeCell ref="A431:J431"/>
    <mergeCell ref="A432:A433"/>
    <mergeCell ref="B432:B433"/>
    <mergeCell ref="C432:C433"/>
    <mergeCell ref="F432:F433"/>
    <mergeCell ref="G432:G433"/>
    <mergeCell ref="A434:A435"/>
    <mergeCell ref="B434:B435"/>
    <mergeCell ref="C434:C435"/>
    <mergeCell ref="F434:F435"/>
    <mergeCell ref="G434:G435"/>
    <mergeCell ref="A427:J427"/>
    <mergeCell ref="A428:A430"/>
    <mergeCell ref="C428:C430"/>
    <mergeCell ref="D428:D429"/>
    <mergeCell ref="E428:E429"/>
    <mergeCell ref="F428:F430"/>
    <mergeCell ref="G428:G430"/>
    <mergeCell ref="H428:H429"/>
    <mergeCell ref="I428:I429"/>
    <mergeCell ref="J428:J429"/>
    <mergeCell ref="A423:J423"/>
    <mergeCell ref="A424:A426"/>
    <mergeCell ref="C424:C426"/>
    <mergeCell ref="D424:D425"/>
    <mergeCell ref="E424:E425"/>
    <mergeCell ref="F424:F426"/>
    <mergeCell ref="G424:G426"/>
    <mergeCell ref="H424:H425"/>
    <mergeCell ref="I424:I425"/>
    <mergeCell ref="J424:J425"/>
    <mergeCell ref="A419:J419"/>
    <mergeCell ref="A420:A422"/>
    <mergeCell ref="C420:C422"/>
    <mergeCell ref="D420:D421"/>
    <mergeCell ref="E420:E421"/>
    <mergeCell ref="F420:F422"/>
    <mergeCell ref="G420:G422"/>
    <mergeCell ref="H420:H421"/>
    <mergeCell ref="I420:I421"/>
    <mergeCell ref="J420:J421"/>
    <mergeCell ref="B414:J414"/>
    <mergeCell ref="A415:J415"/>
    <mergeCell ref="A416:A418"/>
    <mergeCell ref="C416:C418"/>
    <mergeCell ref="D416:D417"/>
    <mergeCell ref="E416:E417"/>
    <mergeCell ref="F416:F418"/>
    <mergeCell ref="G416:G418"/>
    <mergeCell ref="H416:H417"/>
    <mergeCell ref="I416:I417"/>
    <mergeCell ref="J416:J417"/>
    <mergeCell ref="A410:J410"/>
    <mergeCell ref="A411:A413"/>
    <mergeCell ref="C411:C413"/>
    <mergeCell ref="D411:D412"/>
    <mergeCell ref="E411:E412"/>
    <mergeCell ref="F411:F413"/>
    <mergeCell ref="G411:G413"/>
    <mergeCell ref="H411:H412"/>
    <mergeCell ref="I411:I412"/>
    <mergeCell ref="J411:J412"/>
    <mergeCell ref="A406:J406"/>
    <mergeCell ref="A407:A409"/>
    <mergeCell ref="C407:C409"/>
    <mergeCell ref="D407:D408"/>
    <mergeCell ref="E407:E408"/>
    <mergeCell ref="F407:F409"/>
    <mergeCell ref="G407:G409"/>
    <mergeCell ref="H407:H408"/>
    <mergeCell ref="I407:I408"/>
    <mergeCell ref="J407:J408"/>
    <mergeCell ref="H399:H400"/>
    <mergeCell ref="I399:I400"/>
    <mergeCell ref="J399:J400"/>
    <mergeCell ref="A402:J402"/>
    <mergeCell ref="A403:A405"/>
    <mergeCell ref="C403:C405"/>
    <mergeCell ref="D403:D404"/>
    <mergeCell ref="E403:E404"/>
    <mergeCell ref="F403:F405"/>
    <mergeCell ref="G403:G405"/>
    <mergeCell ref="A399:A401"/>
    <mergeCell ref="C399:C401"/>
    <mergeCell ref="D399:D400"/>
    <mergeCell ref="E399:E400"/>
    <mergeCell ref="F399:F401"/>
    <mergeCell ref="G399:G401"/>
    <mergeCell ref="H403:H404"/>
    <mergeCell ref="I403:I404"/>
    <mergeCell ref="J403:J404"/>
    <mergeCell ref="A398:J398"/>
    <mergeCell ref="H389:H390"/>
    <mergeCell ref="I389:I390"/>
    <mergeCell ref="J389:J390"/>
    <mergeCell ref="A392:J392"/>
    <mergeCell ref="A393:A394"/>
    <mergeCell ref="C393:C394"/>
    <mergeCell ref="F393:F394"/>
    <mergeCell ref="G393:G394"/>
    <mergeCell ref="A388:J388"/>
    <mergeCell ref="A389:A391"/>
    <mergeCell ref="C389:C391"/>
    <mergeCell ref="D389:D390"/>
    <mergeCell ref="E389:E390"/>
    <mergeCell ref="F389:F391"/>
    <mergeCell ref="G389:G391"/>
    <mergeCell ref="A395:J395"/>
    <mergeCell ref="A396:A397"/>
    <mergeCell ref="C396:C397"/>
    <mergeCell ref="F396:F397"/>
    <mergeCell ref="G396:G397"/>
    <mergeCell ref="A373:J373"/>
    <mergeCell ref="A382:J382"/>
    <mergeCell ref="B383:J383"/>
    <mergeCell ref="A384:J384"/>
    <mergeCell ref="A385:A387"/>
    <mergeCell ref="C385:C387"/>
    <mergeCell ref="D385:D386"/>
    <mergeCell ref="E385:E386"/>
    <mergeCell ref="F385:F387"/>
    <mergeCell ref="G385:G387"/>
    <mergeCell ref="H385:H386"/>
    <mergeCell ref="I385:I386"/>
    <mergeCell ref="J385:J386"/>
    <mergeCell ref="A368:A369"/>
    <mergeCell ref="C368:C369"/>
    <mergeCell ref="F368:F369"/>
    <mergeCell ref="G368:G369"/>
    <mergeCell ref="A370:J370"/>
    <mergeCell ref="A371:A372"/>
    <mergeCell ref="C371:C372"/>
    <mergeCell ref="F371:F372"/>
    <mergeCell ref="G371:G372"/>
    <mergeCell ref="A364:J364"/>
    <mergeCell ref="A365:A366"/>
    <mergeCell ref="C365:C366"/>
    <mergeCell ref="F365:F366"/>
    <mergeCell ref="G365:G366"/>
    <mergeCell ref="A367:J367"/>
    <mergeCell ref="A359:A360"/>
    <mergeCell ref="C359:C360"/>
    <mergeCell ref="F359:F360"/>
    <mergeCell ref="G359:G360"/>
    <mergeCell ref="A361:J361"/>
    <mergeCell ref="A362:A363"/>
    <mergeCell ref="C362:C363"/>
    <mergeCell ref="F362:F363"/>
    <mergeCell ref="G362:G363"/>
    <mergeCell ref="A355:J355"/>
    <mergeCell ref="A356:A357"/>
    <mergeCell ref="C356:C357"/>
    <mergeCell ref="F356:F357"/>
    <mergeCell ref="G356:G357"/>
    <mergeCell ref="A358:J358"/>
    <mergeCell ref="A350:J350"/>
    <mergeCell ref="B351:J351"/>
    <mergeCell ref="A352:J352"/>
    <mergeCell ref="A353:A354"/>
    <mergeCell ref="C353:C354"/>
    <mergeCell ref="F353:F354"/>
    <mergeCell ref="G353:G354"/>
    <mergeCell ref="A330:A331"/>
    <mergeCell ref="B330:B331"/>
    <mergeCell ref="C330:C331"/>
    <mergeCell ref="F330:F331"/>
    <mergeCell ref="G330:G331"/>
    <mergeCell ref="A335:A336"/>
    <mergeCell ref="B335:B336"/>
    <mergeCell ref="C335:C336"/>
    <mergeCell ref="F335:F336"/>
    <mergeCell ref="G335:G336"/>
    <mergeCell ref="H324:H325"/>
    <mergeCell ref="I324:I325"/>
    <mergeCell ref="J324:J325"/>
    <mergeCell ref="A327:J327"/>
    <mergeCell ref="A328:A329"/>
    <mergeCell ref="B328:B329"/>
    <mergeCell ref="C328:C329"/>
    <mergeCell ref="F328:F329"/>
    <mergeCell ref="G328:G329"/>
    <mergeCell ref="A324:A326"/>
    <mergeCell ref="C324:C326"/>
    <mergeCell ref="D324:D325"/>
    <mergeCell ref="E324:E325"/>
    <mergeCell ref="F324:F326"/>
    <mergeCell ref="G324:G326"/>
    <mergeCell ref="B322:J322"/>
    <mergeCell ref="A323:J323"/>
    <mergeCell ref="G315:G317"/>
    <mergeCell ref="H315:H316"/>
    <mergeCell ref="I315:I316"/>
    <mergeCell ref="J315:J316"/>
    <mergeCell ref="A318:J318"/>
    <mergeCell ref="A319:A321"/>
    <mergeCell ref="C319:C321"/>
    <mergeCell ref="D319:D320"/>
    <mergeCell ref="E319:E320"/>
    <mergeCell ref="F319:F321"/>
    <mergeCell ref="B313:J313"/>
    <mergeCell ref="A314:J314"/>
    <mergeCell ref="A315:A317"/>
    <mergeCell ref="C315:C317"/>
    <mergeCell ref="D315:D316"/>
    <mergeCell ref="E315:E316"/>
    <mergeCell ref="F315:F317"/>
    <mergeCell ref="G319:G321"/>
    <mergeCell ref="H319:H320"/>
    <mergeCell ref="I319:I320"/>
    <mergeCell ref="J319:J320"/>
    <mergeCell ref="B308:J308"/>
    <mergeCell ref="A309:J309"/>
    <mergeCell ref="A310:A312"/>
    <mergeCell ref="C310:C312"/>
    <mergeCell ref="D310:D311"/>
    <mergeCell ref="E310:E311"/>
    <mergeCell ref="F310:F312"/>
    <mergeCell ref="G310:G312"/>
    <mergeCell ref="H310:H311"/>
    <mergeCell ref="I310:I311"/>
    <mergeCell ref="J310:J311"/>
    <mergeCell ref="B303:J303"/>
    <mergeCell ref="A304:J304"/>
    <mergeCell ref="A305:A307"/>
    <mergeCell ref="C305:C307"/>
    <mergeCell ref="D305:D306"/>
    <mergeCell ref="E305:E306"/>
    <mergeCell ref="F305:F307"/>
    <mergeCell ref="G305:G307"/>
    <mergeCell ref="H305:H306"/>
    <mergeCell ref="I305:I306"/>
    <mergeCell ref="J305:J306"/>
    <mergeCell ref="A299:J299"/>
    <mergeCell ref="A300:A302"/>
    <mergeCell ref="C300:C302"/>
    <mergeCell ref="D300:D301"/>
    <mergeCell ref="E300:E301"/>
    <mergeCell ref="F300:F302"/>
    <mergeCell ref="G300:G302"/>
    <mergeCell ref="H300:H301"/>
    <mergeCell ref="I300:I301"/>
    <mergeCell ref="J300:J301"/>
    <mergeCell ref="B294:J294"/>
    <mergeCell ref="A295:J295"/>
    <mergeCell ref="A296:A298"/>
    <mergeCell ref="C296:C298"/>
    <mergeCell ref="D296:D297"/>
    <mergeCell ref="E296:E297"/>
    <mergeCell ref="F296:F298"/>
    <mergeCell ref="G296:G298"/>
    <mergeCell ref="H296:H297"/>
    <mergeCell ref="I296:I297"/>
    <mergeCell ref="J296:J297"/>
    <mergeCell ref="A278:A279"/>
    <mergeCell ref="B278:B279"/>
    <mergeCell ref="C278:C279"/>
    <mergeCell ref="F278:F279"/>
    <mergeCell ref="G278:G279"/>
    <mergeCell ref="A293:J293"/>
    <mergeCell ref="A271:A272"/>
    <mergeCell ref="B271:B272"/>
    <mergeCell ref="C271:C272"/>
    <mergeCell ref="F271:F272"/>
    <mergeCell ref="G271:G272"/>
    <mergeCell ref="A273:A274"/>
    <mergeCell ref="B273:B274"/>
    <mergeCell ref="C273:C274"/>
    <mergeCell ref="F273:F274"/>
    <mergeCell ref="G273:G274"/>
    <mergeCell ref="A267:J267"/>
    <mergeCell ref="A268:A269"/>
    <mergeCell ref="C268:C269"/>
    <mergeCell ref="F268:F269"/>
    <mergeCell ref="G268:G269"/>
    <mergeCell ref="A270:J270"/>
    <mergeCell ref="J260:J261"/>
    <mergeCell ref="B263:J263"/>
    <mergeCell ref="A264:J264"/>
    <mergeCell ref="A265:A266"/>
    <mergeCell ref="C265:C266"/>
    <mergeCell ref="F265:F266"/>
    <mergeCell ref="G265:G266"/>
    <mergeCell ref="A259:J259"/>
    <mergeCell ref="A260:A262"/>
    <mergeCell ref="C260:C262"/>
    <mergeCell ref="D260:D261"/>
    <mergeCell ref="E260:E261"/>
    <mergeCell ref="F260:F262"/>
    <mergeCell ref="G260:G262"/>
    <mergeCell ref="H260:H261"/>
    <mergeCell ref="I260:I261"/>
    <mergeCell ref="A255:J255"/>
    <mergeCell ref="A256:A258"/>
    <mergeCell ref="C256:C258"/>
    <mergeCell ref="D256:D257"/>
    <mergeCell ref="E256:E257"/>
    <mergeCell ref="F256:F258"/>
    <mergeCell ref="G256:G258"/>
    <mergeCell ref="H256:H257"/>
    <mergeCell ref="I256:I257"/>
    <mergeCell ref="J256:J257"/>
    <mergeCell ref="A251:J251"/>
    <mergeCell ref="A252:A254"/>
    <mergeCell ref="C252:C254"/>
    <mergeCell ref="D252:D253"/>
    <mergeCell ref="E252:E253"/>
    <mergeCell ref="F252:F254"/>
    <mergeCell ref="G252:G254"/>
    <mergeCell ref="H252:H253"/>
    <mergeCell ref="I252:I253"/>
    <mergeCell ref="J252:J253"/>
    <mergeCell ref="A247:J247"/>
    <mergeCell ref="A248:A250"/>
    <mergeCell ref="C248:C250"/>
    <mergeCell ref="D248:D249"/>
    <mergeCell ref="E248:E249"/>
    <mergeCell ref="F248:F250"/>
    <mergeCell ref="G248:G250"/>
    <mergeCell ref="H248:H249"/>
    <mergeCell ref="I248:I249"/>
    <mergeCell ref="J248:J249"/>
    <mergeCell ref="B242:J242"/>
    <mergeCell ref="A243:J243"/>
    <mergeCell ref="A244:A246"/>
    <mergeCell ref="C244:C246"/>
    <mergeCell ref="D244:D245"/>
    <mergeCell ref="E244:E245"/>
    <mergeCell ref="F244:F246"/>
    <mergeCell ref="G244:G246"/>
    <mergeCell ref="H244:H245"/>
    <mergeCell ref="I244:I245"/>
    <mergeCell ref="J244:J245"/>
    <mergeCell ref="A230:A231"/>
    <mergeCell ref="C230:C231"/>
    <mergeCell ref="F230:F231"/>
    <mergeCell ref="G230:G231"/>
    <mergeCell ref="A232:J232"/>
    <mergeCell ref="A241:J241"/>
    <mergeCell ref="A226:J226"/>
    <mergeCell ref="A227:A228"/>
    <mergeCell ref="C227:C228"/>
    <mergeCell ref="F227:F228"/>
    <mergeCell ref="G227:G228"/>
    <mergeCell ref="A229:J229"/>
    <mergeCell ref="A221:A222"/>
    <mergeCell ref="C221:C222"/>
    <mergeCell ref="F221:F222"/>
    <mergeCell ref="G221:G222"/>
    <mergeCell ref="A223:J223"/>
    <mergeCell ref="A224:A225"/>
    <mergeCell ref="C224:C225"/>
    <mergeCell ref="F224:F225"/>
    <mergeCell ref="G224:G225"/>
    <mergeCell ref="A217:J217"/>
    <mergeCell ref="A218:A219"/>
    <mergeCell ref="C218:C219"/>
    <mergeCell ref="F218:F219"/>
    <mergeCell ref="G218:G219"/>
    <mergeCell ref="A220:J220"/>
    <mergeCell ref="A212:A213"/>
    <mergeCell ref="C212:C213"/>
    <mergeCell ref="F212:F213"/>
    <mergeCell ref="G212:G213"/>
    <mergeCell ref="A214:J214"/>
    <mergeCell ref="A215:A216"/>
    <mergeCell ref="C215:C216"/>
    <mergeCell ref="F215:F216"/>
    <mergeCell ref="G215:G216"/>
    <mergeCell ref="A208:J208"/>
    <mergeCell ref="A209:A210"/>
    <mergeCell ref="C209:C210"/>
    <mergeCell ref="F209:F210"/>
    <mergeCell ref="G209:G210"/>
    <mergeCell ref="A211:J211"/>
    <mergeCell ref="A203:A204"/>
    <mergeCell ref="C203:C204"/>
    <mergeCell ref="F203:F204"/>
    <mergeCell ref="G203:G204"/>
    <mergeCell ref="A205:J205"/>
    <mergeCell ref="A206:A207"/>
    <mergeCell ref="C206:C207"/>
    <mergeCell ref="F206:F207"/>
    <mergeCell ref="G206:G207"/>
    <mergeCell ref="A199:J199"/>
    <mergeCell ref="A200:A201"/>
    <mergeCell ref="C200:C201"/>
    <mergeCell ref="F200:F201"/>
    <mergeCell ref="G200:G201"/>
    <mergeCell ref="A202:J202"/>
    <mergeCell ref="A194:A195"/>
    <mergeCell ref="C194:C195"/>
    <mergeCell ref="F194:F195"/>
    <mergeCell ref="G194:G195"/>
    <mergeCell ref="A196:J196"/>
    <mergeCell ref="A197:A198"/>
    <mergeCell ref="C197:C198"/>
    <mergeCell ref="F197:F198"/>
    <mergeCell ref="G197:G198"/>
    <mergeCell ref="A190:J190"/>
    <mergeCell ref="A191:A192"/>
    <mergeCell ref="C191:C192"/>
    <mergeCell ref="F191:F192"/>
    <mergeCell ref="G191:G192"/>
    <mergeCell ref="A193:J193"/>
    <mergeCell ref="A185:A186"/>
    <mergeCell ref="C185:C186"/>
    <mergeCell ref="F185:F186"/>
    <mergeCell ref="G185:G186"/>
    <mergeCell ref="A187:J187"/>
    <mergeCell ref="A188:A189"/>
    <mergeCell ref="C188:C189"/>
    <mergeCell ref="F188:F189"/>
    <mergeCell ref="G188:G189"/>
    <mergeCell ref="A181:J181"/>
    <mergeCell ref="A182:A183"/>
    <mergeCell ref="C182:C183"/>
    <mergeCell ref="F182:F183"/>
    <mergeCell ref="G182:G183"/>
    <mergeCell ref="A184:J184"/>
    <mergeCell ref="A176:A177"/>
    <mergeCell ref="C176:C177"/>
    <mergeCell ref="F176:F177"/>
    <mergeCell ref="G176:G177"/>
    <mergeCell ref="A178:J178"/>
    <mergeCell ref="A179:A180"/>
    <mergeCell ref="C179:C180"/>
    <mergeCell ref="F179:F180"/>
    <mergeCell ref="G179:G180"/>
    <mergeCell ref="A172:J172"/>
    <mergeCell ref="A173:A174"/>
    <mergeCell ref="C173:C174"/>
    <mergeCell ref="F173:F174"/>
    <mergeCell ref="G173:G174"/>
    <mergeCell ref="A175:J175"/>
    <mergeCell ref="A167:A168"/>
    <mergeCell ref="C167:C168"/>
    <mergeCell ref="F167:F168"/>
    <mergeCell ref="G167:G168"/>
    <mergeCell ref="A169:J169"/>
    <mergeCell ref="A170:A171"/>
    <mergeCell ref="C170:C171"/>
    <mergeCell ref="F170:F171"/>
    <mergeCell ref="G170:G171"/>
    <mergeCell ref="A163:J163"/>
    <mergeCell ref="A164:A165"/>
    <mergeCell ref="C164:C165"/>
    <mergeCell ref="F164:F165"/>
    <mergeCell ref="G164:G165"/>
    <mergeCell ref="A166:J166"/>
    <mergeCell ref="A158:A159"/>
    <mergeCell ref="C158:C159"/>
    <mergeCell ref="F158:F159"/>
    <mergeCell ref="G158:G159"/>
    <mergeCell ref="A160:J160"/>
    <mergeCell ref="A161:A162"/>
    <mergeCell ref="C161:C162"/>
    <mergeCell ref="F161:F162"/>
    <mergeCell ref="G161:G162"/>
    <mergeCell ref="A154:J154"/>
    <mergeCell ref="A155:A156"/>
    <mergeCell ref="C155:C156"/>
    <mergeCell ref="F155:F156"/>
    <mergeCell ref="G155:G156"/>
    <mergeCell ref="A157:J157"/>
    <mergeCell ref="A149:A150"/>
    <mergeCell ref="C149:C150"/>
    <mergeCell ref="F149:F150"/>
    <mergeCell ref="G149:G150"/>
    <mergeCell ref="A151:J151"/>
    <mergeCell ref="A152:A153"/>
    <mergeCell ref="C152:C153"/>
    <mergeCell ref="F152:F153"/>
    <mergeCell ref="G152:G153"/>
    <mergeCell ref="A145:J145"/>
    <mergeCell ref="A146:A147"/>
    <mergeCell ref="C146:C147"/>
    <mergeCell ref="F146:F147"/>
    <mergeCell ref="G146:G147"/>
    <mergeCell ref="A148:J148"/>
    <mergeCell ref="A140:A141"/>
    <mergeCell ref="C140:C141"/>
    <mergeCell ref="F140:F141"/>
    <mergeCell ref="G140:G141"/>
    <mergeCell ref="A142:J142"/>
    <mergeCell ref="A143:A144"/>
    <mergeCell ref="C143:C144"/>
    <mergeCell ref="F143:F144"/>
    <mergeCell ref="G143:G144"/>
    <mergeCell ref="A136:J136"/>
    <mergeCell ref="A137:A138"/>
    <mergeCell ref="C137:C138"/>
    <mergeCell ref="F137:F138"/>
    <mergeCell ref="G137:G138"/>
    <mergeCell ref="A139:J139"/>
    <mergeCell ref="A131:A132"/>
    <mergeCell ref="C131:C132"/>
    <mergeCell ref="F131:F132"/>
    <mergeCell ref="G131:G132"/>
    <mergeCell ref="A133:J133"/>
    <mergeCell ref="A134:A135"/>
    <mergeCell ref="C134:C135"/>
    <mergeCell ref="F134:F135"/>
    <mergeCell ref="G134:G135"/>
    <mergeCell ref="A127:J127"/>
    <mergeCell ref="A128:A129"/>
    <mergeCell ref="C128:C129"/>
    <mergeCell ref="F128:F129"/>
    <mergeCell ref="G128:G129"/>
    <mergeCell ref="A130:J130"/>
    <mergeCell ref="A122:A123"/>
    <mergeCell ref="C122:C123"/>
    <mergeCell ref="F122:F123"/>
    <mergeCell ref="G122:G123"/>
    <mergeCell ref="A124:J124"/>
    <mergeCell ref="A125:A126"/>
    <mergeCell ref="C125:C126"/>
    <mergeCell ref="F125:F126"/>
    <mergeCell ref="G125:G126"/>
    <mergeCell ref="A118:J118"/>
    <mergeCell ref="A119:A120"/>
    <mergeCell ref="C119:C120"/>
    <mergeCell ref="F119:F120"/>
    <mergeCell ref="G119:G120"/>
    <mergeCell ref="A121:J121"/>
    <mergeCell ref="A113:A114"/>
    <mergeCell ref="C113:C114"/>
    <mergeCell ref="F113:F114"/>
    <mergeCell ref="G113:G114"/>
    <mergeCell ref="A115:J115"/>
    <mergeCell ref="A116:A117"/>
    <mergeCell ref="C116:C117"/>
    <mergeCell ref="F116:F117"/>
    <mergeCell ref="G116:G117"/>
    <mergeCell ref="A109:J109"/>
    <mergeCell ref="A110:A111"/>
    <mergeCell ref="C110:C111"/>
    <mergeCell ref="F110:F111"/>
    <mergeCell ref="G110:G111"/>
    <mergeCell ref="A112:J112"/>
    <mergeCell ref="B105:J105"/>
    <mergeCell ref="A106:J106"/>
    <mergeCell ref="A107:A108"/>
    <mergeCell ref="C107:C108"/>
    <mergeCell ref="F107:F108"/>
    <mergeCell ref="G107:G108"/>
    <mergeCell ref="A104:J104"/>
    <mergeCell ref="H83:H84"/>
    <mergeCell ref="I83:I84"/>
    <mergeCell ref="J83:J84"/>
    <mergeCell ref="A86:J86"/>
    <mergeCell ref="A87:A88"/>
    <mergeCell ref="B87:B88"/>
    <mergeCell ref="C87:C88"/>
    <mergeCell ref="F87:F88"/>
    <mergeCell ref="G87:G88"/>
    <mergeCell ref="A82:J82"/>
    <mergeCell ref="A83:A85"/>
    <mergeCell ref="C83:C85"/>
    <mergeCell ref="D83:D84"/>
    <mergeCell ref="E83:E84"/>
    <mergeCell ref="F83:F85"/>
    <mergeCell ref="G83:G85"/>
    <mergeCell ref="A89:A90"/>
    <mergeCell ref="B89:B90"/>
    <mergeCell ref="C89:C90"/>
    <mergeCell ref="F89:F90"/>
    <mergeCell ref="G89:G90"/>
    <mergeCell ref="A78:J78"/>
    <mergeCell ref="A79:A81"/>
    <mergeCell ref="C79:C81"/>
    <mergeCell ref="D79:D80"/>
    <mergeCell ref="E79:E80"/>
    <mergeCell ref="F79:F81"/>
    <mergeCell ref="G79:G81"/>
    <mergeCell ref="H79:H80"/>
    <mergeCell ref="I79:I80"/>
    <mergeCell ref="J79:J80"/>
    <mergeCell ref="A74:J74"/>
    <mergeCell ref="A75:A77"/>
    <mergeCell ref="C75:C77"/>
    <mergeCell ref="D75:D76"/>
    <mergeCell ref="E75:E76"/>
    <mergeCell ref="F75:F77"/>
    <mergeCell ref="G75:G77"/>
    <mergeCell ref="H75:H76"/>
    <mergeCell ref="I75:I76"/>
    <mergeCell ref="J75:J76"/>
    <mergeCell ref="A70:J70"/>
    <mergeCell ref="A71:A73"/>
    <mergeCell ref="C71:C73"/>
    <mergeCell ref="D71:D72"/>
    <mergeCell ref="E71:E72"/>
    <mergeCell ref="F71:F73"/>
    <mergeCell ref="G71:G73"/>
    <mergeCell ref="H71:H72"/>
    <mergeCell ref="I71:I72"/>
    <mergeCell ref="J71:J72"/>
    <mergeCell ref="A66:J66"/>
    <mergeCell ref="A67:A69"/>
    <mergeCell ref="C67:C69"/>
    <mergeCell ref="D67:D68"/>
    <mergeCell ref="E67:E68"/>
    <mergeCell ref="F67:F69"/>
    <mergeCell ref="G67:G69"/>
    <mergeCell ref="H67:H68"/>
    <mergeCell ref="I67:I68"/>
    <mergeCell ref="J67:J68"/>
    <mergeCell ref="A62:J62"/>
    <mergeCell ref="A63:A65"/>
    <mergeCell ref="C63:C65"/>
    <mergeCell ref="D63:D64"/>
    <mergeCell ref="E63:E64"/>
    <mergeCell ref="F63:F65"/>
    <mergeCell ref="G63:G65"/>
    <mergeCell ref="H63:H64"/>
    <mergeCell ref="I63:I64"/>
    <mergeCell ref="J63:J64"/>
    <mergeCell ref="A58:J58"/>
    <mergeCell ref="A59:A61"/>
    <mergeCell ref="C59:C61"/>
    <mergeCell ref="D59:D60"/>
    <mergeCell ref="E59:E60"/>
    <mergeCell ref="F59:F61"/>
    <mergeCell ref="G59:G61"/>
    <mergeCell ref="H59:H60"/>
    <mergeCell ref="I59:I60"/>
    <mergeCell ref="J59:J60"/>
    <mergeCell ref="A54:J54"/>
    <mergeCell ref="A55:A57"/>
    <mergeCell ref="C55:C57"/>
    <mergeCell ref="D55:D56"/>
    <mergeCell ref="E55:E56"/>
    <mergeCell ref="F55:F57"/>
    <mergeCell ref="G55:G57"/>
    <mergeCell ref="H55:H56"/>
    <mergeCell ref="I55:I56"/>
    <mergeCell ref="J55:J56"/>
    <mergeCell ref="H47:H48"/>
    <mergeCell ref="I47:I48"/>
    <mergeCell ref="J47:J48"/>
    <mergeCell ref="A50:J50"/>
    <mergeCell ref="A51:A53"/>
    <mergeCell ref="C51:C53"/>
    <mergeCell ref="D51:D52"/>
    <mergeCell ref="E51:E52"/>
    <mergeCell ref="F51:F53"/>
    <mergeCell ref="G51:G53"/>
    <mergeCell ref="A47:A49"/>
    <mergeCell ref="C47:C49"/>
    <mergeCell ref="D47:D48"/>
    <mergeCell ref="E47:E48"/>
    <mergeCell ref="F47:F49"/>
    <mergeCell ref="G47:G49"/>
    <mergeCell ref="H51:H52"/>
    <mergeCell ref="I51:I52"/>
    <mergeCell ref="J51:J52"/>
    <mergeCell ref="A43:J43"/>
    <mergeCell ref="A44:A45"/>
    <mergeCell ref="C44:C45"/>
    <mergeCell ref="F44:F45"/>
    <mergeCell ref="G44:G45"/>
    <mergeCell ref="A46:J46"/>
    <mergeCell ref="A38:A39"/>
    <mergeCell ref="C38:C39"/>
    <mergeCell ref="F38:F39"/>
    <mergeCell ref="G38:G39"/>
    <mergeCell ref="A40:J40"/>
    <mergeCell ref="A41:A42"/>
    <mergeCell ref="C41:C42"/>
    <mergeCell ref="F41:F42"/>
    <mergeCell ref="G41:G42"/>
    <mergeCell ref="A33:J33"/>
    <mergeCell ref="A34:A35"/>
    <mergeCell ref="C34:C35"/>
    <mergeCell ref="F34:F35"/>
    <mergeCell ref="G34:G35"/>
    <mergeCell ref="A37:J37"/>
    <mergeCell ref="J26:J27"/>
    <mergeCell ref="A29:J29"/>
    <mergeCell ref="A30:A31"/>
    <mergeCell ref="C30:C31"/>
    <mergeCell ref="F30:F31"/>
    <mergeCell ref="G30:G31"/>
    <mergeCell ref="A25:J25"/>
    <mergeCell ref="A26:A28"/>
    <mergeCell ref="C26:C28"/>
    <mergeCell ref="D26:D27"/>
    <mergeCell ref="E26:E27"/>
    <mergeCell ref="F26:F28"/>
    <mergeCell ref="G26:G28"/>
    <mergeCell ref="H26:H27"/>
    <mergeCell ref="I26:I27"/>
    <mergeCell ref="B20:J20"/>
    <mergeCell ref="A21:J21"/>
    <mergeCell ref="A22:A24"/>
    <mergeCell ref="C22:C24"/>
    <mergeCell ref="D22:D23"/>
    <mergeCell ref="E22:E23"/>
    <mergeCell ref="F22:F24"/>
    <mergeCell ref="G22:G24"/>
    <mergeCell ref="H22:H23"/>
    <mergeCell ref="I22:I23"/>
    <mergeCell ref="J22:J23"/>
    <mergeCell ref="A19:J19"/>
    <mergeCell ref="G7:H7"/>
    <mergeCell ref="G8:H8"/>
    <mergeCell ref="G9:H9"/>
    <mergeCell ref="A11:D11"/>
    <mergeCell ref="A14:A16"/>
    <mergeCell ref="C14:C16"/>
    <mergeCell ref="D14:E14"/>
    <mergeCell ref="A10:J10"/>
    <mergeCell ref="A1:D1"/>
    <mergeCell ref="B2:D2"/>
    <mergeCell ref="A3:D3"/>
    <mergeCell ref="A4:D4"/>
    <mergeCell ref="G6:H6"/>
    <mergeCell ref="A5:J5"/>
    <mergeCell ref="F14:H14"/>
    <mergeCell ref="I14:J14"/>
    <mergeCell ref="F15:F16"/>
    <mergeCell ref="G15:G16"/>
    <mergeCell ref="I15:J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В текущих ценах</vt:lpstr>
      <vt:lpstr>База</vt:lpstr>
      <vt:lpstr>Расчет стоимости</vt:lpstr>
      <vt:lpstr>НМЦ лота</vt:lpstr>
      <vt:lpstr>Локальная смета</vt:lpstr>
      <vt:lpstr>'Расчет стоимости'!Область_печати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Геник Дмитрий Иванович</cp:lastModifiedBy>
  <cp:lastPrinted>2020-01-20T06:41:56Z</cp:lastPrinted>
  <dcterms:created xsi:type="dcterms:W3CDTF">2013-08-20T09:15:16Z</dcterms:created>
  <dcterms:modified xsi:type="dcterms:W3CDTF">2020-01-22T12:33:23Z</dcterms:modified>
</cp:coreProperties>
</file>